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ILLES BALEARS\"/>
    </mc:Choice>
  </mc:AlternateContent>
  <workbookProtection workbookAlgorithmName="SHA-512" workbookHashValue="e/VHAP96EJ0/0Ik6dN/d+hs0ZMrf6j1CeDizJiV+BB6A5aw1Z/W2EoDmNgrFFNjdgxVciWu2QGTP28av4h9u4Q==" workbookSaltValue="W04ItfEq0I6qU8jv2C9yL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L10" i="2" s="1"/>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O19" i="8" s="1"/>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ER19" i="8"/>
  <c r="AE13" i="21"/>
  <c r="EL19" i="8"/>
  <c r="BE12" i="21"/>
  <c r="EQ19" i="8"/>
  <c r="EN19" i="8"/>
  <c r="E15" i="3"/>
  <c r="BA13" i="16"/>
  <c r="F16" i="10"/>
  <c r="ES19" i="8"/>
  <c r="G18" i="12"/>
  <c r="W19" i="8"/>
  <c r="R8" i="9"/>
  <c r="X12" i="21" s="1"/>
  <c r="F17" i="16"/>
  <c r="BL17" i="16" s="1"/>
  <c r="EP19" i="8"/>
  <c r="EP19" i="19"/>
  <c r="BH9" i="16"/>
  <c r="BJ17" i="11"/>
  <c r="BH15" i="16"/>
  <c r="Q17" i="20"/>
  <c r="Q18" i="20" s="1"/>
  <c r="BL17" i="11"/>
  <c r="BK12" i="11"/>
  <c r="BF10" i="11"/>
  <c r="BK9" i="11"/>
  <c r="S13" i="16"/>
  <c r="P13" i="16"/>
  <c r="W13" i="20"/>
  <c r="X11" i="17"/>
  <c r="AO12" i="11"/>
  <c r="H13" i="12"/>
  <c r="F13" i="7"/>
  <c r="AJ19" i="8"/>
  <c r="BK15" i="11"/>
  <c r="X9" i="17"/>
  <c r="AZ17" i="11"/>
  <c r="BI10" i="11"/>
  <c r="Q10" i="21"/>
  <c r="V9" i="11"/>
  <c r="BJ11" i="11"/>
  <c r="R10" i="21"/>
  <c r="R13" i="21" s="1"/>
  <c r="BI17" i="11"/>
  <c r="BG9" i="11"/>
  <c r="BL11" i="11"/>
  <c r="BH17" i="11"/>
  <c r="BM15" i="11"/>
  <c r="T17" i="16"/>
  <c r="T15" i="16"/>
  <c r="BU15" i="17"/>
  <c r="BW9" i="20"/>
  <c r="BW17" i="20"/>
  <c r="BV16" i="16"/>
  <c r="BW16" i="20"/>
  <c r="BV15" i="16"/>
  <c r="BW15" i="20"/>
  <c r="BU9" i="17"/>
  <c r="BV10" i="16"/>
  <c r="BU17" i="17"/>
  <c r="BU16" i="17"/>
  <c r="BV9" i="16"/>
  <c r="T13" i="16"/>
  <c r="AZ12" i="11"/>
  <c r="T15" i="11"/>
  <c r="T16" i="11"/>
  <c r="BG12" i="11"/>
  <c r="Q17" i="17"/>
  <c r="BH10" i="11"/>
  <c r="BI9" i="11"/>
  <c r="AQ10" i="21"/>
  <c r="BJ10" i="11"/>
  <c r="BK16" i="11"/>
  <c r="BH11" i="11"/>
  <c r="BG16" i="11"/>
  <c r="T11" i="11"/>
  <c r="BH16" i="11"/>
  <c r="AQ12" i="21"/>
  <c r="BJ16" i="11"/>
  <c r="BL16" i="11"/>
  <c r="BG15" i="8"/>
  <c r="BD9" i="8"/>
  <c r="BE9" i="8"/>
  <c r="S15" i="17"/>
  <c r="X15" i="16"/>
  <c r="X18" i="16" s="1"/>
  <c r="V10" i="16"/>
  <c r="AP13" i="16"/>
  <c r="F11" i="11"/>
  <c r="AQ11" i="11" s="1"/>
  <c r="T18" i="17"/>
  <c r="BF15" i="13"/>
  <c r="BE16" i="13"/>
  <c r="BF16" i="13"/>
  <c r="Z20" i="20"/>
  <c r="H20" i="20"/>
  <c r="G18" i="14"/>
  <c r="AK20" i="20"/>
  <c r="T20" i="20"/>
  <c r="O16" i="11"/>
  <c r="AL19" i="8" l="1"/>
  <c r="R19" i="8"/>
  <c r="BM18" i="16"/>
  <c r="L19" i="8"/>
  <c r="E18" i="12"/>
  <c r="AV18" i="21"/>
  <c r="I19" i="8"/>
  <c r="AE13" i="17"/>
  <c r="AG19" i="8"/>
  <c r="D13" i="7"/>
  <c r="B13" i="7"/>
  <c r="B12" i="6"/>
  <c r="E10" i="6"/>
  <c r="M18" i="2"/>
  <c r="U9" i="17"/>
  <c r="U19" i="17" s="1"/>
  <c r="L12" i="2"/>
  <c r="BK10" i="11"/>
  <c r="BH12" i="16"/>
  <c r="BM9" i="11"/>
  <c r="S17" i="17"/>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BF16" i="11"/>
  <c r="BF17" i="11"/>
  <c r="P17" i="17"/>
  <c r="BM16" i="11"/>
  <c r="BH15" i="11"/>
  <c r="V15" i="11"/>
  <c r="AP16" i="20"/>
  <c r="AY13" i="8"/>
  <c r="BD12" i="8"/>
  <c r="BE12" i="8"/>
  <c r="L11" i="14"/>
  <c r="BE15" i="13"/>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U16" i="11"/>
  <c r="AX20" i="20"/>
  <c r="Y20" i="20"/>
  <c r="O10" i="11"/>
  <c r="AM20" i="20"/>
  <c r="Q20" i="20"/>
  <c r="AB20" i="20"/>
  <c r="AI20" i="20"/>
  <c r="AZ20" i="20"/>
  <c r="AV20" i="20"/>
  <c r="AU20" i="20"/>
  <c r="M20" i="20"/>
  <c r="AQ20" i="21"/>
  <c r="AP20" i="20"/>
  <c r="AH20" i="20"/>
  <c r="N20" i="20"/>
  <c r="AD20" i="20"/>
  <c r="AE20" i="20"/>
  <c r="AG20" i="20"/>
  <c r="I20" i="20"/>
  <c r="T20" i="21"/>
  <c r="AB21" i="21"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R20" i="16"/>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BF20" i="16"/>
  <c r="BJ20" i="16"/>
  <c r="AJ20" i="11"/>
  <c r="AM20" i="16"/>
  <c r="AK20" i="16"/>
  <c r="O20" i="16"/>
  <c r="W20" i="16"/>
  <c r="E20" i="12"/>
  <c r="AX20" i="16"/>
  <c r="N20" i="17"/>
  <c r="E20" i="17"/>
  <c r="AD20" i="17"/>
  <c r="L20" i="11"/>
  <c r="X20"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AH20" i="16"/>
  <c r="Y20" i="21"/>
  <c r="AN20" i="21"/>
  <c r="AB20" i="17"/>
  <c r="S20" i="11"/>
  <c r="AM20" i="17"/>
  <c r="AT20" i="17"/>
  <c r="AI20" i="16"/>
  <c r="N20" i="11"/>
  <c r="U20" i="16"/>
  <c r="BA20" i="16"/>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<sst xmlns="http://schemas.openxmlformats.org/spreadsheetml/2006/main" count="2094" uniqueCount="914">
  <si>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</si>
  <si>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</si>
  <si>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</si>
  <si>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</si>
  <si>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</si>
  <si>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</si>
  <si>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</si>
  <si>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</si>
  <si>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</si>
  <si>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</si>
  <si>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</si>
  <si>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</si>
  <si>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</si>
  <si>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</si>
  <si>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</si>
  <si>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</si>
  <si>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</si>
  <si>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</si>
  <si>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</si>
  <si>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</si>
  <si>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</si>
  <si>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</si>
  <si>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</si>
  <si>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</si>
  <si>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</si>
  <si>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</si>
  <si>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</si>
  <si>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</si>
  <si>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</si>
  <si>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</si>
  <si>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</si>
  <si>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</si>
  <si>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</si>
  <si>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</si>
  <si>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</si>
  <si>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</si>
  <si>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</si>
  <si>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</si>
  <si>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</si>
  <si>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</si>
  <si>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</si>
  <si>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</si>
  <si>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</si>
  <si>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</si>
  <si>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</si>
  <si>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</si>
  <si>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</si>
  <si>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</si>
  <si>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</si>
  <si>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</si>
  <si>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</si>
  <si>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</si>
  <si>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</si>
  <si>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</si>
  <si>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</si>
  <si>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</si>
  <si>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</si>
  <si>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</si>
  <si>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</si>
  <si>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</si>
  <si>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</si>
  <si>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</si>
  <si>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</si>
  <si>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</si>
  <si>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</si>
  <si>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</si>
  <si>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</si>
  <si>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</si>
  <si>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</si>
  <si>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</si>
  <si>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</si>
  <si>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</si>
  <si>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</si>
  <si>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</si>
  <si>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</si>
  <si>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</si>
  <si>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</si>
  <si>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</si>
  <si>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</si>
  <si>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</si>
  <si>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</si>
  <si>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</si>
  <si>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</si>
  <si>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</si>
  <si>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</si>
  <si>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</si>
  <si>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</si>
  <si>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</si>
  <si>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</si>
  <si>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</si>
  <si>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</si>
  <si>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</si>
  <si>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</si>
  <si>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</si>
  <si>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</si>
  <si>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</si>
  <si>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</si>
  <si>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</si>
  <si>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</si>
  <si>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</si>
  <si>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</si>
  <si>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</si>
  <si>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</si>
  <si>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</si>
  <si>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</si>
  <si>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</si>
  <si>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</si>
  <si>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</si>
  <si>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</si>
  <si>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</si>
  <si>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</si>
  <si>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</si>
  <si>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</si>
  <si>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</si>
  <si>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</si>
  <si>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</si>
  <si>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</si>
  <si>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</si>
  <si>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</si>
  <si>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</si>
  <si>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</si>
  <si>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</si>
  <si>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</si>
  <si>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</si>
  <si>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</si>
  <si>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</si>
  <si>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</si>
  <si>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</si>
  <si>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</si>
  <si>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</si>
  <si>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</si>
  <si>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</si>
  <si>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</si>
  <si>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</si>
  <si>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</si>
  <si>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</si>
  <si>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</si>
  <si>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</si>
  <si>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</si>
  <si>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</si>
  <si>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</si>
  <si>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</si>
  <si>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</si>
  <si>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</si>
  <si>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</si>
  <si>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</si>
  <si>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</si>
  <si>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</si>
  <si>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</si>
  <si>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</si>
  <si>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</si>
  <si>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</si>
  <si>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</si>
  <si>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</si>
  <si>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</si>
  <si>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</si>
  <si>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</si>
  <si>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</si>
  <si>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</si>
  <si>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</si>
  <si>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</si>
  <si>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</si>
  <si>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</si>
  <si>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</si>
  <si>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</si>
  <si>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</si>
  <si>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</si>
  <si>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</si>
  <si>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</si>
  <si>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</si>
  <si>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</si>
  <si>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</si>
  <si>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</si>
  <si>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</si>
  <si>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</si>
  <si>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</si>
  <si>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</si>
  <si>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</si>
  <si>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</si>
  <si>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</si>
  <si>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</si>
  <si>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</si>
  <si>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</si>
  <si>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</si>
  <si>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</si>
  <si>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</si>
  <si>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</si>
  <si>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</si>
  <si>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</si>
  <si>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</si>
  <si>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</si>
  <si>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</si>
  <si>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</si>
  <si>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</si>
  <si>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</si>
  <si>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</si>
  <si>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</si>
  <si>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</si>
  <si>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</si>
  <si>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</si>
  <si>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</si>
  <si>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</si>
  <si>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</si>
  <si>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</si>
  <si>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</si>
  <si>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</si>
  <si>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</si>
  <si>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</si>
  <si>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</si>
  <si>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</si>
  <si>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</si>
  <si>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</si>
  <si>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</si>
  <si>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</si>
  <si>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</si>
  <si>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</si>
  <si>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</si>
  <si>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</si>
  <si>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</si>
  <si>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</si>
  <si>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</si>
  <si>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</si>
  <si>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</si>
  <si>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</si>
  <si>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</si>
  <si>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</si>
  <si>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</si>
  <si>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</si>
  <si>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</si>
  <si>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</si>
  <si>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</si>
  <si>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</si>
  <si>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</si>
  <si>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</si>
  <si>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</si>
  <si>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</si>
  <si>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</si>
  <si>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</si>
  <si>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</si>
  <si>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</si>
  <si>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</si>
  <si>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</si>
  <si>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</si>
  <si>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</si>
  <si>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</si>
  <si>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</si>
  <si>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</si>
  <si>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</si>
  <si>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</si>
  <si>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</si>
  <si>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</si>
  <si>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</si>
  <si>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</si>
  <si>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</si>
  <si>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</si>
  <si>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</si>
  <si>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</si>
  <si>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</si>
  <si>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</si>
  <si>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</si>
  <si>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</si>
  <si>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</si>
  <si>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</si>
  <si>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</si>
  <si>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</si>
  <si>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</si>
  <si>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</si>
  <si>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</si>
  <si>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</si>
  <si>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</si>
  <si>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</si>
  <si>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</si>
  <si>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</si>
  <si>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</si>
  <si>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</si>
  <si>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</si>
  <si>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</si>
  <si>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</si>
  <si>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</si>
  <si>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</si>
  <si>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</si>
  <si>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</si>
  <si>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</si>
  <si>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</si>
  <si>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</si>
  <si>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</si>
  <si>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</si>
  <si>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</si>
  <si>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</si>
  <si>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</si>
  <si>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</si>
  <si>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</si>
  <si>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</si>
  <si>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</si>
  <si>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</si>
  <si>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</si>
  <si>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</si>
  <si>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</si>
  <si>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</si>
  <si>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</si>
  <si>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</si>
  <si>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</si>
  <si>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</si>
  <si>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</si>
  <si>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</si>
  <si>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</si>
  <si>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</si>
  <si>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</si>
  <si>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</si>
  <si>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</si>
  <si>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</si>
  <si>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</si>
  <si>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</si>
  <si>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</si>
  <si>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</si>
  <si>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</si>
  <si>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</si>
  <si>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</si>
  <si>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</si>
  <si>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</si>
  <si>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</si>
  <si>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</si>
  <si>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</si>
  <si>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</si>
  <si>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</si>
  <si>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</si>
  <si>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</si>
  <si>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</si>
  <si>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</si>
  <si>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</si>
  <si>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</si>
  <si>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</si>
  <si>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</si>
  <si>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</si>
  <si>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</si>
  <si>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</si>
  <si>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</si>
  <si>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</si>
  <si>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</si>
  <si>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</si>
  <si>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</si>
  <si>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</si>
  <si>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</si>
  <si>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</si>
  <si>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</si>
  <si>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</si>
  <si>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</si>
  <si>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</si>
  <si>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</si>
  <si>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</si>
  <si>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</si>
  <si>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</si>
  <si>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</si>
  <si>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</si>
  <si>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</si>
  <si>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</si>
  <si>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</si>
  <si>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</si>
  <si>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</si>
  <si>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</si>
  <si>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</si>
  <si>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</si>
  <si>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</si>
  <si>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</si>
  <si>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</si>
  <si>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</si>
  <si>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</si>
  <si>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</si>
  <si>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</si>
  <si>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</si>
  <si>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</si>
  <si>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</si>
  <si>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</si>
  <si>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</si>
  <si>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</si>
  <si>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</si>
  <si>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</si>
  <si>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</si>
  <si>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</si>
  <si>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</si>
  <si>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</si>
  <si>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</si>
  <si>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</si>
  <si>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</si>
  <si>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</si>
  <si>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</si>
  <si>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</si>
  <si>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</si>
  <si>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</si>
  <si>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</si>
  <si>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</si>
  <si>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</si>
  <si>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</si>
  <si>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</si>
  <si>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</si>
  <si>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</si>
  <si>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</si>
  <si>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</si>
  <si>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</si>
  <si>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</si>
  <si>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</si>
  <si>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</si>
  <si>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</si>
  <si>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</si>
  <si>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</si>
  <si>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</si>
  <si>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</si>
  <si>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</si>
  <si>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</si>
  <si>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</si>
  <si>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</si>
  <si>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</si>
  <si>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</si>
  <si>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</si>
  <si>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</si>
  <si>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</si>
  <si>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</si>
  <si>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</si>
  <si>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</si>
  <si>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</si>
  <si>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</si>
  <si>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</si>
  <si>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</si>
  <si>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</si>
  <si>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</si>
  <si>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</si>
  <si>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</si>
  <si>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</si>
  <si>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</si>
  <si>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</si>
  <si>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</si>
  <si>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</si>
  <si>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</si>
  <si>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</si>
  <si>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</si>
  <si>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</si>
  <si>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</si>
  <si>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</si>
  <si>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</si>
  <si>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</si>
  <si>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</si>
  <si>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</si>
  <si>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</si>
  <si>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</si>
  <si>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</si>
  <si>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</si>
  <si>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</si>
  <si>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</si>
  <si>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</si>
  <si>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</si>
  <si>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</si>
  <si>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</si>
  <si>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</si>
  <si>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</si>
  <si>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</si>
  <si>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</si>
  <si>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</si>
  <si>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</si>
  <si>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</si>
  <si>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</si>
  <si>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</si>
  <si>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</si>
  <si>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</si>
  <si>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</si>
  <si>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</si>
  <si>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</si>
  <si>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</si>
  <si>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</si>
  <si>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</si>
  <si>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</si>
  <si>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</si>
  <si>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</si>
  <si>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</si>
  <si>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</si>
  <si>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</si>
  <si>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</si>
  <si>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</si>
  <si>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</si>
  <si>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</si>
  <si>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</si>
  <si>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</si>
  <si>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</si>
  <si>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</si>
  <si>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</si>
  <si>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</si>
  <si>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</si>
  <si>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</si>
  <si>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</si>
  <si>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</si>
  <si>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</si>
  <si>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</si>
  <si>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</si>
  <si>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</si>
  <si>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</si>
  <si>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</si>
  <si>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</si>
  <si>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</si>
  <si>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</si>
  <si>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</si>
  <si>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</si>
  <si>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</si>
  <si>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</si>
  <si>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</si>
  <si>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</si>
  <si>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</si>
  <si>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</si>
  <si>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</si>
  <si>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</si>
  <si>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</si>
  <si>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</si>
  <si>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</si>
  <si>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</si>
  <si>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</si>
  <si>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</si>
  <si>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</si>
  <si>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</si>
  <si>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</si>
  <si>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</si>
  <si>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</si>
  <si>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</si>
  <si>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</si>
  <si>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</si>
  <si>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</si>
  <si>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</si>
  <si>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</si>
  <si>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</si>
  <si>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</si>
  <si>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</si>
  <si>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</si>
  <si>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</si>
  <si>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</si>
  <si>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</si>
  <si>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</si>
  <si>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</si>
  <si>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</si>
  <si>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</si>
  <si>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</si>
  <si>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</si>
  <si>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</si>
  <si>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</si>
  <si>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</si>
  <si>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</si>
  <si>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</si>
  <si>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</si>
  <si>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</si>
  <si>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</si>
  <si>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</si>
  <si>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</si>
  <si>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</si>
  <si>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</si>
  <si>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</si>
  <si>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</si>
  <si>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</si>
  <si>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</si>
  <si>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</si>
  <si>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</si>
  <si>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</si>
  <si>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</si>
  <si>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</si>
  <si>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</si>
  <si>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</si>
  <si>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</si>
  <si>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</si>
  <si>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</si>
  <si>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</si>
  <si>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</si>
  <si>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</si>
  <si>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</si>
  <si>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</si>
  <si>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</si>
  <si>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</si>
  <si>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</si>
  <si>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</si>
  <si>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</si>
  <si>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</si>
  <si>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</si>
  <si>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</si>
  <si>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</si>
  <si>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</si>
  <si>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</si>
  <si>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</si>
  <si>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</si>
  <si>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</si>
  <si>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</si>
  <si>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</si>
  <si>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</si>
  <si>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</si>
  <si>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</si>
  <si>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</si>
  <si>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</si>
  <si>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</si>
  <si>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</si>
  <si>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</si>
  <si>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</si>
  <si>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</si>
  <si>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</si>
  <si>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</si>
  <si>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</si>
  <si>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</si>
  <si>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</si>
  <si>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</si>
  <si>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</si>
  <si>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</si>
  <si>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</si>
  <si>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</si>
  <si>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</si>
  <si>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</si>
  <si>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</si>
  <si>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</si>
  <si>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</si>
  <si>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</si>
  <si>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</si>
  <si>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</si>
  <si>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</si>
  <si>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</si>
  <si>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</si>
  <si>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</si>
  <si>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</si>
  <si>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</si>
  <si>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</si>
  <si>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</si>
  <si>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</si>
  <si>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</si>
  <si>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</si>
  <si>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</si>
  <si>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</si>
  <si>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</si>
  <si>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</si>
  <si>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</si>
  <si>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</si>
  <si>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</si>
  <si>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</si>
  <si>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</si>
  <si>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</si>
  <si>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</si>
  <si>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</si>
  <si>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</si>
  <si>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</si>
  <si>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</si>
  <si>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</si>
  <si>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</si>
  <si>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</si>
  <si>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</si>
  <si>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</si>
  <si>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</si>
  <si>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</si>
  <si>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</si>
  <si>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</si>
  <si>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</si>
  <si>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</si>
  <si>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</si>
  <si>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</si>
  <si>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</si>
  <si>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</si>
  <si>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</si>
  <si>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</si>
  <si>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</si>
  <si>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</si>
  <si>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</si>
  <si>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</si>
  <si>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</si>
  <si>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</si>
  <si>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</si>
  <si>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</si>
  <si>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</si>
  <si>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</si>
  <si>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</si>
  <si>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</si>
  <si>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</si>
  <si>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</si>
  <si>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</si>
  <si>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</si>
  <si>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</si>
  <si>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</si>
  <si>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</si>
  <si>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</si>
  <si>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</si>
  <si>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</si>
  <si>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</si>
  <si>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</si>
  <si>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</si>
  <si>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</si>
  <si>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</si>
  <si>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</si>
  <si>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</si>
  <si>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</si>
  <si>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</si>
  <si>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</si>
  <si>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</si>
  <si>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</si>
  <si>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</si>
  <si>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</si>
  <si>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</si>
  <si>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</si>
  <si>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</si>
  <si>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</si>
  <si>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</si>
  <si>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</si>
  <si>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</si>
  <si>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</si>
  <si>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</si>
  <si>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</si>
  <si>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</si>
  <si>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</si>
  <si>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</si>
  <si>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</si>
  <si>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</si>
  <si>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</si>
  <si>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</si>
  <si>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</si>
  <si>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</si>
  <si>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</si>
  <si>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</si>
  <si>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</si>
  <si>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</si>
  <si>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</si>
  <si>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</si>
  <si>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</si>
  <si>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</si>
  <si>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</si>
  <si>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</si>
  <si>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</si>
  <si>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</si>
  <si>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</si>
  <si>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</si>
  <si>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</si>
  <si>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</si>
  <si>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</si>
  <si>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</si>
  <si>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</si>
  <si>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</si>
  <si>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</si>
  <si>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</si>
  <si>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</si>
  <si>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</si>
  <si>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</si>
  <si>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</si>
  <si>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</si>
  <si>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</si>
  <si>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</si>
  <si>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</si>
  <si>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</si>
  <si>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</si>
  <si>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</si>
  <si>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</si>
  <si>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</si>
  <si>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</si>
  <si>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</si>
  <si>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</si>
  <si>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</si>
  <si>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</si>
  <si>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</si>
  <si>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</si>
  <si>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</si>
  <si>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</si>
  <si>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</si>
  <si>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</si>
  <si>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</si>
  <si>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</si>
  <si>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</si>
  <si>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</si>
  <si>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</si>
  <si>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</si>
  <si>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</si>
  <si>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</si>
  <si>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</si>
  <si>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</si>
  <si>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</si>
  <si>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</si>
  <si>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</si>
  <si>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</si>
  <si>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</si>
  <si>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</si>
  <si>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</si>
  <si>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</si>
  <si>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</si>
  <si>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</si>
  <si>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</si>
  <si>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</si>
  <si>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</si>
  <si>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</si>
  <si>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</si>
  <si>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</si>
  <si>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</si>
  <si>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</si>
  <si>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</si>
  <si>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</si>
  <si>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</si>
  <si>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</si>
  <si>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</si>
  <si>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</si>
  <si>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</si>
  <si>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</si>
  <si>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</si>
  <si>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</si>
  <si>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</si>
  <si>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</si>
  <si>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</si>
  <si>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</si>
  <si>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</si>
  <si>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</si>
  <si>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</si>
  <si>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</si>
  <si>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</si>
  <si>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</si>
  <si>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</si>
  <si>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</si>
  <si>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</si>
  <si>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</si>
  <si>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</si>
  <si>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</si>
  <si>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</si>
  <si>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</si>
  <si>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</si>
  <si>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</si>
  <si>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</si>
  <si>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</si>
  <si>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</si>
  <si>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</si>
  <si>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</si>
  <si>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</si>
  <si>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</si>
  <si>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</si>
  <si>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</si>
  <si>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</si>
  <si>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</si>
  <si>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</si>
  <si>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</si>
  <si>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</si>
  <si>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</si>
  <si>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</si>
  <si>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</si>
  <si>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</si>
  <si>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</si>
  <si>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</si>
  <si>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</si>
  <si>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</si>
  <si>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</si>
  <si>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</si>
  <si>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</si>
  <si>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</si>
  <si>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</si>
  <si>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</si>
  <si>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</si>
  <si>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</si>
  <si>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</si>
  <si>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</si>
  <si>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</si>
  <si>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</si>
  <si>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</si>
  <si>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</si>
  <si>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</si>
  <si>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</si>
  <si>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</si>
  <si>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</si>
  <si>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</si>
  <si>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</si>
  <si>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</si>
  <si>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</si>
  <si>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</si>
  <si>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</si>
  <si>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</si>
  <si>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</si>
  <si>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</si>
  <si>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</si>
  <si>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</si>
  <si>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</si>
  <si>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</si>
  <si>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</si>
  <si>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</si>
  <si>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</si>
  <si>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</si>
  <si>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</si>
  <si>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</si>
  <si>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</si>
  <si>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</si>
  <si>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</si>
  <si>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</si>
  <si>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</si>
  <si>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</si>
  <si>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</si>
  <si>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</si>
  <si>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</si>
  <si>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</si>
  <si>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</si>
  <si>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</si>
  <si>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</si>
  <si>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</si>
  <si>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</si>
  <si>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</si>
  <si>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</si>
  <si>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</si>
  <si>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</si>
  <si>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</si>
  <si>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</si>
  <si>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</si>
  <si>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</si>
  <si>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</si>
  <si>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</si>
  <si>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</si>
  <si>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</si>
  <si>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</si>
  <si>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</si>
  <si>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</si>
  <si>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</si>
  <si>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</si>
  <si>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</si>
  <si>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</si>
  <si>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</si>
  <si>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ISLAS BALEARES</t>
  </si>
  <si>
    <t>Provincias</t>
  </si>
  <si>
    <t>ILLES BALEARS</t>
  </si>
  <si>
    <t>Resumenes por Partidos Judiciales</t>
  </si>
  <si>
    <t>MAO-MAHON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</si>
</sst>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Lykoo+LwwL6glBAPp0pnpiVNoM4eSWekplyEgIufegu7Cw8LzfhzXXcKVVLCldx2lwWf0WxYa7bp/j25CWPDg==" saltValue="D6XcbZEgYAYC/HxOTrtDi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ISLAS BALEARES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8</v>
      </c>
      <c r="D10" s="225">
        <f>IF(ISNUMBER(Datos!I10),Datos!I10," - ")</f>
        <v>8</v>
      </c>
      <c r="E10" s="226">
        <f>IF(ISNUMBER(Datos!J10),Datos!J10," - ")</f>
        <v>2</v>
      </c>
      <c r="F10" s="226">
        <f>IF(ISNUMBER(Datos!K10),Datos!K10," - ")</f>
        <v>2</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45.375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8</v>
      </c>
      <c r="D13" s="1049">
        <f>SUBTOTAL(9,D9:D12)</f>
        <v>8</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849</v>
      </c>
      <c r="D16" s="225">
        <f>IF(ISNUMBER(IF(D_I="SI",Datos!I16,Datos!I16+Datos!AC16)),IF(D_I="SI",Datos!I16,Datos!I16+Datos!AC16)," - ")</f>
        <v>841</v>
      </c>
      <c r="E16" s="226">
        <f>IF(ISNUMBER(IF(D_I="SI",Datos!J16,Datos!J16+Datos!AD16)),IF(D_I="SI",Datos!J16,Datos!J16+Datos!AD16)," - ")</f>
        <v>515</v>
      </c>
      <c r="F16" s="226">
        <f>IF(ISNUMBER(IF(D_I="SI",Datos!K16,Datos!K16+Datos!AE16)),IF(D_I="SI",Datos!K16,Datos!K16+Datos!AE16)," - ")</f>
        <v>583</v>
      </c>
      <c r="G16" s="1034" t="str">
        <f>IF(Datos!E16&lt;&gt;"",Datos!E16,Datos!D16)</f>
        <v>04</v>
      </c>
      <c r="H16" s="227">
        <f>IF(ISNUMBER(IF(D_I="SI",Datos!L16,Datos!L16+Datos!AF16)),IF(D_I="SI",Datos!L16,Datos!L16+Datos!AF16)," - ")</f>
        <v>781</v>
      </c>
      <c r="I16" s="1044" t="str">
        <f>IF(ISNUMBER(Datos!AS16/Datos!BM16),Datos!AS16/Datos!BM16," - ")</f>
        <v xml:space="preserve"> - </v>
      </c>
      <c r="J16" s="1045">
        <f>IF(ISNUMBER(Datos!BY16/Datos!CN16),Datos!BY16/Datos!CN16," - ")</f>
        <v>0</v>
      </c>
      <c r="K16" s="230">
        <f t="shared" si="3"/>
        <v>-8.0094228504122497E-2</v>
      </c>
      <c r="L16" s="1025">
        <f>IF(ISNUMBER(NºAsuntos!I16/NºAsuntos!G16),(NºAsuntos!I16/NºAsuntos!G16)*11," - ")</f>
        <v>14.735849056603772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123</v>
      </c>
      <c r="D17" s="225">
        <f>IF(ISNUMBER(IF(D_I="SI",Datos!I17,Datos!I17+Datos!AC17)),IF(D_I="SI",Datos!I17,Datos!I17+Datos!AC17)," - ")</f>
        <v>123</v>
      </c>
      <c r="E17" s="226">
        <f>IF(ISNUMBER(IF(D_I="SI",Datos!J17,Datos!J17+Datos!AD17)),IF(D_I="SI",Datos!J17,Datos!J17+Datos!AD17)," - ")</f>
        <v>54</v>
      </c>
      <c r="F17" s="226">
        <f>IF(ISNUMBER(IF(D_I="SI",Datos!K17,Datos!K17+Datos!AE17)),IF(D_I="SI",Datos!K17,Datos!K17+Datos!AE17)," - ")</f>
        <v>56</v>
      </c>
      <c r="G17" s="1034" t="str">
        <f>IF(Datos!E17&lt;&gt;"",Datos!E17,Datos!D17)</f>
        <v>37</v>
      </c>
      <c r="H17" s="227">
        <f>IF(ISNUMBER(IF(D_I="SI",Datos!L17,Datos!L17+Datos!AF17)),IF(D_I="SI",Datos!L17,Datos!L17+Datos!AF17)," - ")</f>
        <v>121</v>
      </c>
      <c r="I17" s="1044" t="str">
        <f>IF(ISNUMBER(Datos!AS17/Datos!BM17),Datos!AS17/Datos!BM17," - ")</f>
        <v xml:space="preserve"> - </v>
      </c>
      <c r="J17" s="1045" t="str">
        <f>IF(ISNUMBER((Datos!BY17+Datos!BZ17)/Datos!CN17),(Datos!BY17+Datos!BZ17)/Datos!CN17," - ")</f>
        <v xml:space="preserve"> - </v>
      </c>
      <c r="K17" s="230">
        <f t="shared" si="3"/>
        <v>-1.6260162601626018E-2</v>
      </c>
      <c r="L17" s="1025">
        <f>IF(ISNUMBER(NºAsuntos!I17/NºAsuntos!G17),(NºAsuntos!I17/NºAsuntos!G17)*11," - ")</f>
        <v>23.767857142857142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972</v>
      </c>
      <c r="D18" s="1049">
        <f>SUBTOTAL(9,D15:D17)</f>
        <v>964</v>
      </c>
      <c r="E18" s="1050">
        <f>SUBTOTAL(9,E15:E17)</f>
        <v>569</v>
      </c>
      <c r="F18" s="1050">
        <f>SUBTOTAL(9,F15:F17)</f>
        <v>639</v>
      </c>
      <c r="G18" s="1052" t="str">
        <f ca="1">INDIRECT(CONCATENATE("G",ROW()-1))</f>
        <v>37</v>
      </c>
      <c r="H18" s="1053">
        <f ca="1">SUMIF(G$14:G17,G18,H$14:H17)</f>
        <v>121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980</v>
      </c>
      <c r="D19" s="1071">
        <f>SUBTOTAL(9,D9:D18)</f>
        <v>972</v>
      </c>
      <c r="E19" s="1072">
        <f>SUBTOTAL(9,E9:E18)</f>
        <v>571</v>
      </c>
      <c r="F19" s="1072">
        <f>SUBTOTAL(9,F9:F18)</f>
        <v>641</v>
      </c>
      <c r="G19" s="1073"/>
      <c r="H19" s="1074">
        <f ca="1">SUMIF(B9:B18,"TOTAL",H9:H18)</f>
        <v>121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Sm9YLcP6xBSp/ZrdfnZ355FA/smTFtRPQVtyOFb90CVv9UVqXb0AmeaN8oRiydQjLdhg/mP7fGMoYllZevup9Q==" saltValue="+SEDNfR5D8VrVbT9Ndtb6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Ebika7Ne262gAIqTdjVNbOYUjlgMyMjteGSqaQzWxzBZbgQ3aCjU4h5+8KpBKzKxM+GIvHoB/k5Dpc4XQogWA==" saltValue="r5o0FsvYnvl/UQj7Xu+IW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8</v>
      </c>
      <c r="J10" s="181">
        <v>2</v>
      </c>
      <c r="K10" s="181">
        <v>2</v>
      </c>
      <c r="L10" s="181">
        <v>8</v>
      </c>
      <c r="M10" s="181">
        <v>2</v>
      </c>
      <c r="N10" s="181">
        <v>0</v>
      </c>
      <c r="O10" s="181">
        <v>0</v>
      </c>
      <c r="P10" s="181">
        <v>2</v>
      </c>
      <c r="Q10" s="181">
        <v>1</v>
      </c>
      <c r="R10" s="181">
        <v>9</v>
      </c>
      <c r="S10" s="181">
        <v>7</v>
      </c>
      <c r="T10" s="181">
        <v>1</v>
      </c>
      <c r="U10" s="181">
        <v>4</v>
      </c>
      <c r="V10" s="181">
        <v>4</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1</v>
      </c>
      <c r="BA10" s="129">
        <f t="shared" si="0"/>
        <v>4</v>
      </c>
      <c r="BB10" s="129">
        <f t="shared" si="0"/>
        <v>4</v>
      </c>
      <c r="BC10" s="125">
        <f t="shared" si="0"/>
        <v>4</v>
      </c>
      <c r="BD10" s="126">
        <f>IF(ISNUMBER(BA10/AZ10),BA10/AZ10," - ")</f>
        <v>4</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1980</v>
      </c>
      <c r="J12" s="183">
        <v>942</v>
      </c>
      <c r="K12" s="183">
        <v>556</v>
      </c>
      <c r="L12" s="183">
        <v>2354</v>
      </c>
      <c r="M12" s="183">
        <v>117</v>
      </c>
      <c r="N12" s="183">
        <v>284</v>
      </c>
      <c r="O12" s="181">
        <v>210</v>
      </c>
      <c r="P12" s="183">
        <v>113</v>
      </c>
      <c r="Q12" s="183">
        <v>35</v>
      </c>
      <c r="R12" s="183">
        <v>2066</v>
      </c>
      <c r="S12" s="183">
        <v>1616</v>
      </c>
      <c r="T12" s="183">
        <v>558</v>
      </c>
      <c r="U12" s="183">
        <v>468</v>
      </c>
      <c r="V12" s="183">
        <v>1711</v>
      </c>
      <c r="W12" s="183">
        <v>151</v>
      </c>
      <c r="X12" s="189">
        <v>177</v>
      </c>
      <c r="Y12" s="191">
        <v>48</v>
      </c>
      <c r="Z12" s="181">
        <v>35</v>
      </c>
      <c r="AA12" s="181">
        <v>28</v>
      </c>
      <c r="AB12" s="181">
        <v>55</v>
      </c>
      <c r="AC12" s="183">
        <v>0</v>
      </c>
      <c r="AD12" s="183">
        <v>0</v>
      </c>
      <c r="AE12" s="183">
        <v>0</v>
      </c>
      <c r="AF12" s="189">
        <v>0</v>
      </c>
      <c r="AG12" s="202">
        <v>26</v>
      </c>
      <c r="AH12" s="183">
        <v>18</v>
      </c>
      <c r="AI12" s="183">
        <v>18</v>
      </c>
      <c r="AJ12" s="203">
        <v>26</v>
      </c>
      <c r="AK12" s="182">
        <v>0</v>
      </c>
      <c r="AL12" s="183">
        <v>0</v>
      </c>
      <c r="AM12" s="183">
        <v>0</v>
      </c>
      <c r="AN12" s="189">
        <v>0</v>
      </c>
      <c r="AO12" s="259">
        <v>3</v>
      </c>
      <c r="AP12" s="155">
        <v>3</v>
      </c>
      <c r="AQ12" s="155">
        <v>3</v>
      </c>
      <c r="AR12" s="154">
        <v>3</v>
      </c>
      <c r="AS12" s="340" t="s">
        <v>802</v>
      </c>
      <c r="AT12" s="203"/>
      <c r="AU12" s="202"/>
      <c r="AV12" s="203"/>
      <c r="AW12" s="202"/>
      <c r="AX12" s="203"/>
      <c r="AY12" s="126">
        <f t="shared" si="1"/>
        <v>1642</v>
      </c>
      <c r="AZ12" s="127">
        <f t="shared" si="1"/>
        <v>576</v>
      </c>
      <c r="BA12" s="127">
        <f t="shared" si="1"/>
        <v>486</v>
      </c>
      <c r="BB12" s="127">
        <f t="shared" si="1"/>
        <v>1737</v>
      </c>
      <c r="BC12" s="125">
        <f>IF(ISNUMBER(X12),X12," - ")</f>
        <v>177</v>
      </c>
      <c r="BD12" s="126">
        <f t="shared" si="2"/>
        <v>0.84375</v>
      </c>
      <c r="BE12" s="127">
        <f t="shared" si="3"/>
        <v>3.574074074074074</v>
      </c>
      <c r="BF12" s="127">
        <f t="shared" si="4"/>
        <v>0.36419753086419754</v>
      </c>
      <c r="BG12" s="196">
        <f t="shared" si="5"/>
        <v>4.5637860082304531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1988</v>
      </c>
      <c r="J13" s="184">
        <f t="shared" si="6"/>
        <v>944</v>
      </c>
      <c r="K13" s="184">
        <f t="shared" si="6"/>
        <v>558</v>
      </c>
      <c r="L13" s="184">
        <f t="shared" si="6"/>
        <v>2362</v>
      </c>
      <c r="M13" s="184">
        <f t="shared" si="6"/>
        <v>119</v>
      </c>
      <c r="N13" s="184">
        <f t="shared" si="6"/>
        <v>284</v>
      </c>
      <c r="O13" s="184">
        <f t="shared" si="6"/>
        <v>210</v>
      </c>
      <c r="P13" s="184">
        <f t="shared" si="6"/>
        <v>115</v>
      </c>
      <c r="Q13" s="184">
        <f t="shared" si="6"/>
        <v>36</v>
      </c>
      <c r="R13" s="184">
        <f t="shared" si="6"/>
        <v>2075</v>
      </c>
      <c r="S13" s="184">
        <f t="shared" si="6"/>
        <v>1623</v>
      </c>
      <c r="T13" s="184">
        <f t="shared" si="6"/>
        <v>559</v>
      </c>
      <c r="U13" s="184">
        <f t="shared" si="6"/>
        <v>472</v>
      </c>
      <c r="V13" s="184">
        <f t="shared" si="6"/>
        <v>1715</v>
      </c>
      <c r="W13" s="184">
        <f t="shared" si="6"/>
        <v>155</v>
      </c>
      <c r="X13" s="184">
        <f t="shared" si="6"/>
        <v>177</v>
      </c>
      <c r="Y13" s="184">
        <f t="shared" si="6"/>
        <v>48</v>
      </c>
      <c r="Z13" s="184">
        <f t="shared" si="6"/>
        <v>35</v>
      </c>
      <c r="AA13" s="184">
        <f t="shared" si="6"/>
        <v>28</v>
      </c>
      <c r="AB13" s="184">
        <f t="shared" si="6"/>
        <v>55</v>
      </c>
      <c r="AC13" s="184">
        <f t="shared" si="6"/>
        <v>0</v>
      </c>
      <c r="AD13" s="184">
        <f t="shared" si="6"/>
        <v>0</v>
      </c>
      <c r="AE13" s="184">
        <f t="shared" si="6"/>
        <v>0</v>
      </c>
      <c r="AF13" s="184">
        <f>SUBTOTAL(9,AF9:AF12)</f>
        <v>0</v>
      </c>
      <c r="AG13" s="184">
        <f t="shared" ref="AG13:AT13" si="7">SUBTOTAL(9,AG8:AG12)</f>
        <v>26</v>
      </c>
      <c r="AH13" s="184">
        <f t="shared" si="7"/>
        <v>18</v>
      </c>
      <c r="AI13" s="184">
        <f t="shared" si="7"/>
        <v>18</v>
      </c>
      <c r="AJ13" s="184">
        <f t="shared" si="7"/>
        <v>26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1649</v>
      </c>
      <c r="AZ13" s="184">
        <f>SUBTOTAL(9,AZ8:AZ12)</f>
        <v>577</v>
      </c>
      <c r="BA13" s="184">
        <f>SUBTOTAL(9,BA8:BA12)</f>
        <v>490</v>
      </c>
      <c r="BB13" s="184">
        <f>SUBTOTAL(9,BB8:BB12)</f>
        <v>1741</v>
      </c>
      <c r="BC13" s="184">
        <f>SUBTOTAL(9,BC8:BC12)</f>
        <v>181</v>
      </c>
      <c r="BD13" s="205">
        <f>IF(ISNUMBER(BA13/AZ13),BA13/AZ13," - ")</f>
        <v>0.84922010398613523</v>
      </c>
      <c r="BE13" s="206">
        <f>IF(ISNUMBER(BB13/BA13),BB13/BA13, " - ")</f>
        <v>3.5530612244897961</v>
      </c>
      <c r="BF13" s="206">
        <f>IF(ISNUMBER(BC13/BA13),BC13/BA13, " - ")</f>
        <v>0.3693877551020408</v>
      </c>
      <c r="BG13" s="207">
        <f>IF(ISNUMBER((AY13+AZ13)/BA13),(AY13+AZ13)/BA13," - ")</f>
        <v>4.5428571428571427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841</v>
      </c>
      <c r="J16" s="183">
        <v>515</v>
      </c>
      <c r="K16" s="183">
        <v>583</v>
      </c>
      <c r="L16" s="183">
        <v>781</v>
      </c>
      <c r="M16" s="183">
        <v>85</v>
      </c>
      <c r="N16" s="183">
        <v>298</v>
      </c>
      <c r="O16" s="181">
        <v>3</v>
      </c>
      <c r="P16" s="183">
        <v>15</v>
      </c>
      <c r="Q16" s="183">
        <v>8</v>
      </c>
      <c r="R16" s="183">
        <v>87</v>
      </c>
      <c r="S16" s="183">
        <v>708</v>
      </c>
      <c r="T16" s="183">
        <v>420</v>
      </c>
      <c r="U16" s="183">
        <v>426</v>
      </c>
      <c r="V16" s="183">
        <v>696</v>
      </c>
      <c r="W16" s="183">
        <v>78</v>
      </c>
      <c r="X16" s="189">
        <v>253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708</v>
      </c>
      <c r="AZ16" s="127">
        <f t="shared" si="9"/>
        <v>420</v>
      </c>
      <c r="BA16" s="127">
        <f t="shared" si="9"/>
        <v>426</v>
      </c>
      <c r="BB16" s="127">
        <f t="shared" si="9"/>
        <v>696</v>
      </c>
      <c r="BC16" s="125">
        <f>IF(ISNUMBER(W16),W16," - ")</f>
        <v>78</v>
      </c>
      <c r="BD16" s="126">
        <f t="shared" ref="BD16" si="11">IF(ISNUMBER(BA16/AZ16),BA16/AZ16," - ")</f>
        <v>1.0142857142857142</v>
      </c>
      <c r="BE16" s="127">
        <f t="shared" ref="BE16" si="12">IF(ISNUMBER(BB16/BA16),BB16/BA16, " - ")</f>
        <v>1.6338028169014085</v>
      </c>
      <c r="BF16" s="127">
        <f t="shared" ref="BF16" si="13">IF(ISNUMBER(BC16/BA16),BC16/BA16, " - ")</f>
        <v>0.18309859154929578</v>
      </c>
      <c r="BG16" s="196">
        <f t="shared" si="10"/>
        <v>2.647887323943662</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123</v>
      </c>
      <c r="J17" s="183">
        <v>54</v>
      </c>
      <c r="K17" s="183">
        <v>56</v>
      </c>
      <c r="L17" s="183">
        <v>121</v>
      </c>
      <c r="M17" s="183">
        <v>11</v>
      </c>
      <c r="N17" s="183">
        <v>37</v>
      </c>
      <c r="O17" s="183">
        <v>0</v>
      </c>
      <c r="P17" s="183">
        <v>1</v>
      </c>
      <c r="Q17" s="183">
        <v>0</v>
      </c>
      <c r="R17" s="183">
        <v>1</v>
      </c>
      <c r="S17" s="183">
        <v>101</v>
      </c>
      <c r="T17" s="183">
        <v>45</v>
      </c>
      <c r="U17" s="183">
        <v>41</v>
      </c>
      <c r="V17" s="183">
        <v>105</v>
      </c>
      <c r="W17" s="183">
        <v>3</v>
      </c>
      <c r="X17" s="189">
        <v>32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101</v>
      </c>
      <c r="AZ17" s="129">
        <f t="shared" si="14"/>
        <v>45</v>
      </c>
      <c r="BA17" s="129">
        <f t="shared" si="14"/>
        <v>41</v>
      </c>
      <c r="BB17" s="129">
        <f t="shared" si="14"/>
        <v>105</v>
      </c>
      <c r="BC17" s="125">
        <f>IF(ISNUMBER(W17),W17," - ")</f>
        <v>3</v>
      </c>
      <c r="BD17" s="126">
        <f>IF(ISNUMBER(BA17/AZ17),BA17/AZ17," - ")</f>
        <v>0.91111111111111109</v>
      </c>
      <c r="BE17" s="127">
        <f>IF(ISNUMBER(BB17/BA17),BB17/BA17, " - ")</f>
        <v>2.5609756097560976</v>
      </c>
      <c r="BF17" s="127">
        <f>IF(ISNUMBER(BC17/BA17),BC17/BA17, " - ")</f>
        <v>7.3170731707317069E-2</v>
      </c>
      <c r="BG17" s="196">
        <f>IF(ISNUMBER((AY17+AZ17)/BA17),(AY17+AZ17)/BA17," - ")</f>
        <v>3.5609756097560976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964</v>
      </c>
      <c r="J18" s="184">
        <f t="shared" si="15"/>
        <v>569</v>
      </c>
      <c r="K18" s="184">
        <f t="shared" si="15"/>
        <v>639</v>
      </c>
      <c r="L18" s="184">
        <f t="shared" si="15"/>
        <v>902</v>
      </c>
      <c r="M18" s="184">
        <f t="shared" si="15"/>
        <v>96</v>
      </c>
      <c r="N18" s="184">
        <f t="shared" si="15"/>
        <v>335</v>
      </c>
      <c r="O18" s="184">
        <f t="shared" si="15"/>
        <v>3</v>
      </c>
      <c r="P18" s="184">
        <f t="shared" si="15"/>
        <v>16</v>
      </c>
      <c r="Q18" s="184">
        <f t="shared" si="15"/>
        <v>8</v>
      </c>
      <c r="R18" s="184">
        <f t="shared" si="15"/>
        <v>88</v>
      </c>
      <c r="S18" s="184">
        <f t="shared" si="15"/>
        <v>809</v>
      </c>
      <c r="T18" s="184">
        <f t="shared" si="15"/>
        <v>465</v>
      </c>
      <c r="U18" s="184">
        <f t="shared" si="15"/>
        <v>467</v>
      </c>
      <c r="V18" s="184">
        <f t="shared" si="15"/>
        <v>801</v>
      </c>
      <c r="W18" s="184">
        <f t="shared" si="15"/>
        <v>81</v>
      </c>
      <c r="X18" s="184">
        <f t="shared" si="15"/>
        <v>285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809</v>
      </c>
      <c r="AZ18" s="184">
        <f>SUBTOTAL(9,AZ14:AZ17)</f>
        <v>465</v>
      </c>
      <c r="BA18" s="184">
        <f>SUBTOTAL(9,BA14:BA17)</f>
        <v>467</v>
      </c>
      <c r="BB18" s="184">
        <f>SUBTOTAL(9,BB14:BB17)</f>
        <v>801</v>
      </c>
      <c r="BC18" s="184">
        <f>SUBTOTAL(9,BC14:BC17)</f>
        <v>81</v>
      </c>
      <c r="BD18" s="205">
        <f>IF(ISNUMBER(BA18/AZ18),BA18/AZ18," - ")</f>
        <v>1.0043010752688173</v>
      </c>
      <c r="BE18" s="206">
        <f>IF(ISNUMBER(BB18/BA18),BB18/BA18, " - ")</f>
        <v>1.7152034261241971</v>
      </c>
      <c r="BF18" s="206">
        <f>IF(ISNUMBER(BC18/BA18),BC18/BA18, " - ")</f>
        <v>0.17344753747323341</v>
      </c>
      <c r="BG18" s="207">
        <f>IF(ISNUMBER((AY18+AZ18)/BA18),(AY18+AZ18)/BA18," - ")</f>
        <v>2.7280513918629552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2952</v>
      </c>
      <c r="J19" s="134">
        <f t="shared" si="18"/>
        <v>1513</v>
      </c>
      <c r="K19" s="134">
        <f t="shared" si="18"/>
        <v>1197</v>
      </c>
      <c r="L19" s="134">
        <f t="shared" si="18"/>
        <v>3264</v>
      </c>
      <c r="M19" s="134">
        <f t="shared" si="18"/>
        <v>215</v>
      </c>
      <c r="N19" s="134">
        <f t="shared" si="18"/>
        <v>619</v>
      </c>
      <c r="O19" s="134">
        <f t="shared" si="18"/>
        <v>213</v>
      </c>
      <c r="P19" s="134">
        <f t="shared" si="18"/>
        <v>131</v>
      </c>
      <c r="Q19" s="134">
        <f t="shared" si="18"/>
        <v>44</v>
      </c>
      <c r="R19" s="134">
        <f t="shared" si="18"/>
        <v>2163</v>
      </c>
      <c r="S19" s="134">
        <f t="shared" si="18"/>
        <v>2432</v>
      </c>
      <c r="T19" s="134">
        <f t="shared" si="18"/>
        <v>1024</v>
      </c>
      <c r="U19" s="134">
        <f t="shared" si="18"/>
        <v>939</v>
      </c>
      <c r="V19" s="134">
        <f t="shared" si="18"/>
        <v>2516</v>
      </c>
      <c r="W19" s="134">
        <f t="shared" si="18"/>
        <v>236</v>
      </c>
      <c r="X19" s="134">
        <f t="shared" si="18"/>
        <v>462</v>
      </c>
      <c r="Y19" s="134">
        <f t="shared" si="18"/>
        <v>48</v>
      </c>
      <c r="Z19" s="134">
        <f t="shared" si="18"/>
        <v>35</v>
      </c>
      <c r="AA19" s="134">
        <f t="shared" si="18"/>
        <v>28</v>
      </c>
      <c r="AB19" s="134">
        <f t="shared" si="18"/>
        <v>55</v>
      </c>
      <c r="AC19" s="134">
        <f t="shared" si="18"/>
        <v>0</v>
      </c>
      <c r="AD19" s="134">
        <f t="shared" si="18"/>
        <v>0</v>
      </c>
      <c r="AE19" s="134">
        <f t="shared" si="18"/>
        <v>0</v>
      </c>
      <c r="AF19" s="134">
        <f t="shared" si="18"/>
        <v>0</v>
      </c>
      <c r="AG19" s="134">
        <f t="shared" si="18"/>
        <v>26</v>
      </c>
      <c r="AH19" s="134">
        <f t="shared" si="18"/>
        <v>18</v>
      </c>
      <c r="AI19" s="134">
        <f t="shared" si="18"/>
        <v>18</v>
      </c>
      <c r="AJ19" s="134">
        <f t="shared" si="18"/>
        <v>26</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2458</v>
      </c>
      <c r="AZ19" s="134">
        <f>SUBTOTAL(9,AZ9:AZ18)</f>
        <v>1042</v>
      </c>
      <c r="BA19" s="134">
        <f>SUBTOTAL(9,BA9:BA18)</f>
        <v>957</v>
      </c>
      <c r="BB19" s="134">
        <f>SUBTOTAL(9,BB9:BB18)</f>
        <v>2542</v>
      </c>
      <c r="BC19" s="135">
        <f>SUBTOTAL(9,BC9:BC18)</f>
        <v>262</v>
      </c>
      <c r="BD19" s="213">
        <f>IF(ISNUMBER(BA19/AZ19),BA19/AZ19," - ")</f>
        <v>0.91842610364683297</v>
      </c>
      <c r="BE19" s="210">
        <f>IF(ISNUMBER(BB19/BA19),BB19/BA19, " - ")</f>
        <v>2.6562173458725185</v>
      </c>
      <c r="BF19" s="210">
        <f>IF(ISNUMBER(BC19/BA19),BC19/BA19, " - ")</f>
        <v>0.27377220480668757</v>
      </c>
      <c r="BG19" s="135">
        <f>IF(ISNUMBER((AY19+AZ19)/BA19),(AY19+AZ19)/BA19," - ")</f>
        <v>3.6572622779519333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5eMtPXF3qLQiU9A7w5KuLcSy+AoqGibfUhfXqJegFWXPvpRjFNReDyFV6XzR7UTgweCWqnPcEX0rhahlDKtKWw==" saltValue="Fr1/t6Gp7feV3cLpbG/Dl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ueESgpH/fDy7Y9nAC8YXhXD1Mk6Ja+G2ZZ5IzPb0oYnK+cPyIaQZYbrBq9OTMSXfTORrRAdBCPmjC4SNdHn3gw==" saltValue="E0hOGv6++ujbFNEoAFvwRA=="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ISLAS BALEARES</v>
      </c>
    </row>
    <row r="2" spans="1:74" ht="16.5" customHeight="1">
      <c r="C2" s="488" t="str">
        <f>Criterios!A10 &amp;"  "&amp;Criterios!B10 &amp; "  " &amp; IF(NOT(ISBLANK(Criterios!A11)),Criterios!A11 &amp;"  "&amp;Criterios!B11,"")</f>
        <v>Provincias  ILLES BALEARS  Resumenes por Partidos Judiciales  MAO-MAHON</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1</v>
      </c>
      <c r="AD10" s="334"/>
      <c r="AE10" s="484"/>
      <c r="AF10" s="332">
        <f>IF(ISNUMBER(Datos!L10),Datos!L10,"-")</f>
        <v>8</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35</v>
      </c>
      <c r="O12" s="334"/>
      <c r="P12" s="334"/>
      <c r="Q12" s="226">
        <f>IF(ISNUMBER(Datos!P12),Datos!P12,0)</f>
        <v>113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2066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117</v>
      </c>
      <c r="BD12" s="229">
        <f>IF(ISNUMBER(Datos!N12),Datos!N12," - ")</f>
        <v>284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0.59774820880245649</v>
      </c>
      <c r="BH12" s="260">
        <f>IF(ISNUMBER(((IF(J_V="SI",Datos!L12/Datos!K12,(Datos!L12+Datos!AB12)/(Datos!K12+Datos!AA12)))*11)/factor_trimestre),((IF(J_V="SI",Datos!L12/Datos!K12,(Datos!L12+Datos!AB12)/(Datos!K12+Datos!AA12)))*11)/factor_trimestre," - ")</f>
        <v>12.375</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3.9235412474849095E-2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35</v>
      </c>
      <c r="O13" s="900">
        <f t="shared" si="0"/>
        <v>0</v>
      </c>
      <c r="P13" s="900">
        <f t="shared" si="0"/>
        <v>0</v>
      </c>
      <c r="Q13" s="899">
        <f t="shared" si="0"/>
        <v>115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36</v>
      </c>
      <c r="AD13" s="899">
        <f t="shared" si="1"/>
        <v>0</v>
      </c>
      <c r="AE13" s="899">
        <f t="shared" si="1"/>
        <v>0</v>
      </c>
      <c r="AF13" s="899">
        <f t="shared" si="1"/>
        <v>8</v>
      </c>
      <c r="AG13" s="899">
        <f t="shared" si="1"/>
        <v>0</v>
      </c>
      <c r="AH13" s="899">
        <f t="shared" si="1"/>
        <v>55</v>
      </c>
      <c r="AI13" s="899">
        <f t="shared" si="1"/>
        <v>0</v>
      </c>
      <c r="AJ13" s="899">
        <f t="shared" si="1"/>
        <v>0</v>
      </c>
      <c r="AK13" s="899">
        <f t="shared" si="1"/>
        <v>0</v>
      </c>
      <c r="AL13" s="899">
        <f t="shared" si="1"/>
        <v>0</v>
      </c>
      <c r="AM13" s="899">
        <f t="shared" si="1"/>
        <v>2075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119</v>
      </c>
      <c r="BD13" s="899">
        <f t="shared" si="1"/>
        <v>284</v>
      </c>
      <c r="BE13" s="899">
        <f t="shared" si="1"/>
        <v>0</v>
      </c>
      <c r="BF13" s="899">
        <f t="shared" si="1"/>
        <v>0</v>
      </c>
      <c r="BG13" s="899">
        <f>IF(ISNUMBER(Datos!K13/Datos!J13),Datos!K13/Datos!J13," - ")</f>
        <v>0.59110169491525422</v>
      </c>
      <c r="BH13" s="903">
        <f>IF(ISNUMBER(((Datos!L13/Datos!K13)*11)/factor_trimestre),((Datos!L13/Datos!K13)*11)/factor_trimestre," - ")</f>
        <v>12.698924731182798</v>
      </c>
      <c r="BI13" s="899">
        <f>IF(ISNUMBER('Resol  Asuntos'!D13/NºAsuntos!G13),'Resol  Asuntos'!D13/NºAsuntos!G13," - ")</f>
        <v>0.2030716723549488</v>
      </c>
      <c r="BJ13" s="899" t="str">
        <f>IF(ISNUMBER(Datos!CI13/Datos!CJ13),Datos!CI13/Datos!CJ13," - ")</f>
        <v xml:space="preserve"> - </v>
      </c>
      <c r="BK13" s="899">
        <f>SUBTOTAL(9,BK8:BK12)</f>
        <v>0</v>
      </c>
      <c r="BL13" s="899">
        <f>IF(ISNUMBER((I13-AB13+L13)/(F13)),(I13-AB13+L13)/(F13)," - ")</f>
        <v>-0.25</v>
      </c>
      <c r="BM13" s="904">
        <f>SUBTOTAL(9,BM9:BM12)</f>
        <v>0.1642354124748491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849</v>
      </c>
      <c r="G16" s="598">
        <f>IF(ISNUMBER(IF(D_I="SI",Datos!I16,Datos!I16+Datos!AC16)),IF(D_I="SI",Datos!I16,Datos!I16+Datos!AC16)," - ")</f>
        <v>841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583</v>
      </c>
      <c r="AC16" s="226">
        <f>IF(ISNUMBER(Datos!Q16),Datos!Q16," - ")</f>
        <v>8</v>
      </c>
      <c r="AD16" s="334"/>
      <c r="AE16" s="484"/>
      <c r="AF16" s="596">
        <f>IF(ISNUMBER(IF(D_I="SI",Datos!L16,Datos!L16+Datos!AF16)),IF(D_I="SI",Datos!L16,Datos!L16+Datos!AF16)," - ")</f>
        <v>781</v>
      </c>
      <c r="AG16" s="334"/>
      <c r="AH16" s="334"/>
      <c r="AI16" s="334"/>
      <c r="AJ16" s="334"/>
      <c r="AK16" s="334"/>
      <c r="AL16" s="479"/>
      <c r="AM16" s="335">
        <f>IF(ISNUMBER(Datos!R16),Datos!R16," - ")</f>
        <v>87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85</v>
      </c>
      <c r="BD16" s="229">
        <f>IF(ISNUMBER(Datos!N16),Datos!N16," - ")</f>
        <v>298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1.1320388349514563</v>
      </c>
      <c r="BH16" s="260">
        <f>IF(ISNUMBER(((IF(D_I="SI",Datos!L16/Datos!K16,(Datos!L16+Datos!AF16)/(Datos!K16+Datos!AE16)))*11)/factor_trimestre),((IF(D_I="SI",Datos!L16/Datos!K16,(Datos!L16+Datos!AF16)/(Datos!K16+Datos!AE16)))*11)/factor_trimestre," - ")</f>
        <v>4.0188679245283021</v>
      </c>
      <c r="BI16" s="243">
        <f>IF(ISNUMBER('Resol  Asuntos'!D16/NºAsuntos!G16),'Resol  Asuntos'!D16/NºAsuntos!G16," - ")</f>
        <v>0.14579759862778729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v>
      </c>
      <c r="AC17" s="226">
        <f>IF(ISNUMBER(Datos!Q17),Datos!Q17," - ")</f>
        <v>0</v>
      </c>
      <c r="AD17" s="334"/>
      <c r="AE17" s="484"/>
      <c r="AF17" s="332">
        <f>IF(ISNUMBER(Datos!L17),Datos!L17,"-")</f>
        <v>121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1.037037037037037</v>
      </c>
      <c r="BH17" s="260">
        <f>IF(ISNUMBER(((IF(D_I="SI",Datos!L17/Datos!K17,(Datos!L17+Datos!AF17)/(Datos!K17+Datos!AE17)))*11)/factor_trimestre),((IF(D_I="SI",Datos!L17/Datos!K17,(Datos!L17+Datos!AF17)/(Datos!K17+Datos!AE17)))*11)/factor_trimestre," - ")</f>
        <v>6.4821428571428577</v>
      </c>
      <c r="BI17" s="243">
        <f>IF(ISNUMBER('Resol  Asuntos'!D17/NºAsuntos!G17),'Resol  Asuntos'!D17/NºAsuntos!G17," - ")</f>
        <v>0.19642857142857142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849</v>
      </c>
      <c r="G18" s="898">
        <f>SUBTOTAL(9,G15:G17)</f>
        <v>964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639</v>
      </c>
      <c r="AC18" s="899">
        <f t="shared" si="4"/>
        <v>8</v>
      </c>
      <c r="AD18" s="899">
        <f t="shared" si="4"/>
        <v>0</v>
      </c>
      <c r="AE18" s="899">
        <f t="shared" si="4"/>
        <v>0</v>
      </c>
      <c r="AF18" s="899">
        <f t="shared" si="4"/>
        <v>902</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96</v>
      </c>
      <c r="BD18" s="899">
        <f t="shared" si="4"/>
        <v>335</v>
      </c>
      <c r="BE18" s="899">
        <f t="shared" si="4"/>
        <v>0</v>
      </c>
      <c r="BF18" s="899">
        <f t="shared" si="4"/>
        <v>0</v>
      </c>
      <c r="BG18" s="899">
        <f>IF(ISNUMBER(Datos!K18/Datos!J18),Datos!K18/Datos!J18," - ")</f>
        <v>1.1230228471001757</v>
      </c>
      <c r="BH18" s="903">
        <f>IF(ISNUMBER(((Datos!L18/Datos!K18)*11)/factor_trimestre),((Datos!L18/Datos!K18)*11)/factor_trimestre," - ")</f>
        <v>4.234741784037559</v>
      </c>
      <c r="BI18" s="899">
        <f>SUBTOTAL(9,BI15:BI17)</f>
        <v>0.34222617005635869</v>
      </c>
      <c r="BJ18" s="899">
        <f>SUBTOTAL(9,BJ15:BJ17)</f>
        <v>0</v>
      </c>
      <c r="BK18" s="899">
        <f>SUBTOTAL(9,BK15:BK17)</f>
        <v>0</v>
      </c>
      <c r="BL18" s="899">
        <f>IF(ISNUMBER((I18-AB18+L18)/(F18)),(I18-AB18+L18)/(F18)," - ")</f>
        <v>-0.75265017667844525</v>
      </c>
      <c r="BM18" s="905">
        <f>IF(ISNUMBER((Datos!P18-Datos!Q18)/(Datos!R18-Datos!P18+Datos!Q18)),(Datos!P18-Datos!Q18)/(Datos!R18-Datos!P18+Datos!Q18)," - ")</f>
        <v>0.1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857</v>
      </c>
      <c r="G19" s="820">
        <f t="shared" si="6"/>
        <v>972</v>
      </c>
      <c r="H19" s="822">
        <f t="shared" si="6"/>
        <v>0</v>
      </c>
      <c r="I19" s="820">
        <f t="shared" si="6"/>
        <v>0</v>
      </c>
      <c r="J19" s="822">
        <f t="shared" si="6"/>
        <v>0</v>
      </c>
      <c r="K19" s="822">
        <f t="shared" si="6"/>
        <v>0</v>
      </c>
      <c r="L19" s="881">
        <f t="shared" si="6"/>
        <v>0</v>
      </c>
      <c r="M19" s="881">
        <f t="shared" si="6"/>
        <v>0</v>
      </c>
      <c r="N19" s="881">
        <f t="shared" si="6"/>
        <v>35</v>
      </c>
      <c r="O19" s="881">
        <f t="shared" si="6"/>
        <v>0</v>
      </c>
      <c r="P19" s="881">
        <f t="shared" si="6"/>
        <v>0</v>
      </c>
      <c r="Q19" s="822">
        <f t="shared" si="6"/>
        <v>131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641</v>
      </c>
      <c r="AC19" s="821">
        <f t="shared" si="7"/>
        <v>44</v>
      </c>
      <c r="AD19" s="821">
        <f t="shared" si="7"/>
        <v>0</v>
      </c>
      <c r="AE19" s="821">
        <f t="shared" si="7"/>
        <v>0</v>
      </c>
      <c r="AF19" s="828">
        <f t="shared" si="7"/>
        <v>910</v>
      </c>
      <c r="AG19" s="828">
        <f t="shared" si="7"/>
        <v>0</v>
      </c>
      <c r="AH19" s="828">
        <f t="shared" si="7"/>
        <v>55</v>
      </c>
      <c r="AI19" s="828">
        <f t="shared" si="7"/>
        <v>0</v>
      </c>
      <c r="AJ19" s="821">
        <f t="shared" si="7"/>
        <v>0</v>
      </c>
      <c r="AK19" s="828">
        <f t="shared" si="7"/>
        <v>0</v>
      </c>
      <c r="AL19" s="828">
        <f t="shared" si="7"/>
        <v>0</v>
      </c>
      <c r="AM19" s="828">
        <f t="shared" si="7"/>
        <v>2163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215</v>
      </c>
      <c r="BD19" s="820">
        <f t="shared" si="7"/>
        <v>619</v>
      </c>
      <c r="BE19" s="820">
        <f t="shared" si="7"/>
        <v>0</v>
      </c>
      <c r="BF19" s="830">
        <f t="shared" si="7"/>
        <v>0</v>
      </c>
      <c r="BG19" s="915">
        <f>IF(ISNUMBER(Datos!K19/Datos!J19),Datos!K19/Datos!J19," - ")</f>
        <v>0.79114342366159951</v>
      </c>
      <c r="BH19" s="915">
        <f>IF(ISNUMBER(((Datos!L19/Datos!K19)*11)/factor_trimestre),((Datos!L19/Datos!K19)*11)/factor_trimestre," - ")</f>
        <v>8.1804511278195484</v>
      </c>
      <c r="BI19" s="813">
        <f>IF(ISNUMBER(Datos!J19/Datos!I19),Datos!J19/Datos!I19," - ")</f>
        <v>0.51253387533875339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-0.74795799299883314</v>
      </c>
      <c r="BM19" s="889">
        <f>IF(ISNUMBER((Datos!P19-Datos!Q19+R19)/(Datos!R19-Datos!P19+Datos!Q19-R19)),(Datos!P19-Datos!Q19+R19)/(Datos!R19-Datos!P19+Datos!Q19-R19)," - ")</f>
        <v>4.1907514450867052E-2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485.55157638847527</v>
      </c>
      <c r="G21" s="552">
        <f>IF(ISNUMBER(STDEV(G8:G18)),STDEV(G8:G18),"-")</f>
        <v>473.28817859735312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325.05737955013421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52.152340950974256</v>
      </c>
      <c r="BD21" s="551"/>
      <c r="BE21" s="551">
        <f>IF(ISNUMBER(STDEV(BE8:BE18)),STDEV(BE8:BE18),"-")</f>
        <v>0</v>
      </c>
      <c r="BF21" s="556">
        <f>IF(ISNUMBER(STDEV(BF8:BF18)),STDEV(BF8:BF18),"-")</f>
        <v>0</v>
      </c>
      <c r="BG21" s="775">
        <f>IF(ISNUMBER(STDEV(BG8:BG18)),STDEV(BG8:BG18),"-")</f>
        <v>0.25220727812052995</v>
      </c>
      <c r="BH21" s="776">
        <f>IF(ISNUMBER(STDEV(BH8:BH18)),STDEV(BH8:BH18),"-")</f>
        <v>4.1744951978953742</v>
      </c>
      <c r="BI21" s="249">
        <f>IF(ISNUMBER(STDEV(BI8:BI18)),STDEV(BI8:BI18),"-")</f>
        <v>8.4208591895169563E-2</v>
      </c>
      <c r="BJ21" s="230" t="str">
        <f>IF(ISNUMBER(BL21/BM21),BL21/BM21," - ")</f>
        <v xml:space="preserve"> - </v>
      </c>
      <c r="BK21" s="575"/>
      <c r="BL21" s="559">
        <f>IF(ISNUMBER(STDEV(BL8:BL18)),STDEV(BL8:BL18),"-")</f>
        <v>0.35542734849394492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KS+/cAa1nvPezE/U8O8ViUdUmEwzdejocoL6t2LAqGACg1fpNiT4SLEMM34Q5pqgVovX5Ob/sW2djkXin6v73w==" saltValue="e3kp3claAEqYe8350gGTc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ISLAS BALEARES</v>
      </c>
    </row>
    <row r="2" spans="1:73" ht="16.5" customHeight="1">
      <c r="C2" s="528" t="str">
        <f>Criterios!A10 &amp;"  "&amp;Criterios!B10 &amp; "  " &amp; IF(NOT(ISBLANK(Criterios!A11)),Criterios!A11 &amp;"  "&amp;Criterios!B11,"")</f>
        <v>Provincias  ILLES BALEARS  Resumenes por Partidos Judiciales  MAO-MAHON</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1</v>
      </c>
      <c r="AA10" s="332">
        <f>IF(ISNUMBER(Datos!L10),Datos!L10,"-")</f>
        <v>8</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v>
      </c>
      <c r="AA12" s="332" t="str">
        <f>IF(ISNUMBER(IF(J_V="SI",Datos!L12,Datos!L12+Datos!AB12)-IF(Monitorios="SI",Datos!CD12,0)),
                          IF(J_V="SI",Datos!L12,Datos!L12+Datos!AB12)-IF(Monitorios="SI",Datos!CD12,0),
                          " - ")</f>
        <v xml:space="preserve"> - </v>
      </c>
      <c r="AB12" s="334"/>
      <c r="AC12" s="334"/>
      <c r="AD12" s="484"/>
      <c r="AE12" s="484">
        <f>IF(ISNUMBER(Datos!R12),Datos!R12," - ")</f>
        <v>2066</v>
      </c>
      <c r="AF12" s="229" t="str">
        <f>IF(ISNUMBER(Datos!BV12),Datos!BV12," - ")</f>
        <v xml:space="preserve"> - </v>
      </c>
      <c r="AG12" s="225" t="str">
        <f>IF(ISNUMBER(Datos!DV12),Datos!DV12," - ")</f>
        <v xml:space="preserve"> - </v>
      </c>
      <c r="AH12" s="298"/>
      <c r="AI12" s="227"/>
      <c r="AJ12" s="225">
        <f>IF(ISNUMBER(Datos!M12),Datos!M12," - ")</f>
        <v>117</v>
      </c>
      <c r="AK12" s="229">
        <f>IF(ISNUMBER(Datos!N12),Datos!N12," - ")</f>
        <v>284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12.375</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3.9235412474849095E-2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115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36</v>
      </c>
      <c r="AA13" s="900">
        <f t="shared" si="2"/>
        <v>8</v>
      </c>
      <c r="AB13" s="900">
        <f t="shared" si="2"/>
        <v>0</v>
      </c>
      <c r="AC13" s="900">
        <f t="shared" si="2"/>
        <v>0</v>
      </c>
      <c r="AD13" s="900">
        <f t="shared" si="2"/>
        <v>0</v>
      </c>
      <c r="AE13" s="900">
        <f t="shared" si="2"/>
        <v>2075</v>
      </c>
      <c r="AF13" s="908">
        <f t="shared" si="2"/>
        <v>0</v>
      </c>
      <c r="AG13" s="908">
        <f t="shared" si="2"/>
        <v>0</v>
      </c>
      <c r="AH13" s="908">
        <f t="shared" si="2"/>
        <v>0</v>
      </c>
      <c r="AI13" s="908">
        <f t="shared" si="2"/>
        <v>0</v>
      </c>
      <c r="AJ13" s="908">
        <f t="shared" si="2"/>
        <v>119</v>
      </c>
      <c r="AK13" s="908">
        <f t="shared" si="2"/>
        <v>284</v>
      </c>
      <c r="AL13" s="908">
        <f t="shared" si="2"/>
        <v>0</v>
      </c>
      <c r="AM13" s="908">
        <f t="shared" si="2"/>
        <v>0</v>
      </c>
      <c r="AN13" s="908">
        <f t="shared" si="2"/>
        <v>0</v>
      </c>
      <c r="AO13" s="904">
        <f>IF(ISNUMBER(((NºAsuntos!I13/NºAsuntos!G13)*11)/factor_trimestre),((NºAsuntos!I13/NºAsuntos!G13)*11)/factor_trimestre," - ")</f>
        <v>12.373720136518772</v>
      </c>
      <c r="AP13" s="910" t="str">
        <f>IF(ISNUMBER(Datos!CI13/Datos!CJ13),Datos!CI13/Datos!CJ13," - ")</f>
        <v xml:space="preserve"> - </v>
      </c>
      <c r="AQ13" s="928">
        <f t="shared" ref="AQ13:AV13" si="3">SUBTOTAL(9,AQ9:AQ12)</f>
        <v>0</v>
      </c>
      <c r="AR13" s="928">
        <f t="shared" si="3"/>
        <v>0.1642354124748491</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849</v>
      </c>
      <c r="G16" s="225">
        <f>IF(ISNUMBER(IF(D_I="SI",Datos!I16,Datos!I16+Datos!AC16)),IF(D_I="SI",Datos!I16,Datos!I16+Datos!AC16)," - ")</f>
        <v>841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583</v>
      </c>
      <c r="Z16" s="619">
        <f>IF(ISNUMBER(Datos!Q16),Datos!Q16," - ")</f>
        <v>8</v>
      </c>
      <c r="AA16" s="332">
        <f>IF(ISNUMBER(IF(D_I="SI",Datos!L16,Datos!L16+Datos!AF16)),IF(D_I="SI",Datos!L16,Datos!L16+Datos!AF16)," - ")</f>
        <v>781</v>
      </c>
      <c r="AB16" s="334"/>
      <c r="AC16" s="334"/>
      <c r="AD16" s="484"/>
      <c r="AE16" s="484">
        <f>IF(ISNUMBER(Datos!R16),Datos!R16," - ")</f>
        <v>87</v>
      </c>
      <c r="AF16" s="229" t="str">
        <f>IF(ISNUMBER(Datos!BV16),Datos!BV16," - ")</f>
        <v xml:space="preserve"> - </v>
      </c>
      <c r="AG16" s="225"/>
      <c r="AH16" s="298"/>
      <c r="AI16" s="227"/>
      <c r="AJ16" s="225">
        <f>IF(ISNUMBER(Datos!M16),Datos!M16," - ")</f>
        <v>85</v>
      </c>
      <c r="AK16" s="229">
        <f>IF(ISNUMBER(Datos!N16),Datos!N16," - ")</f>
        <v>298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4.0188679245283021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v>
      </c>
      <c r="Z17" s="619">
        <f>IF(ISNUMBER(Datos!Q17),Datos!Q17," - ")</f>
        <v>0</v>
      </c>
      <c r="AA17" s="332">
        <f>IF(ISNUMBER(Datos!L17),Datos!L17,"-")</f>
        <v>121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11</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6.4821428571428577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849</v>
      </c>
      <c r="G18" s="898">
        <f>SUBTOTAL(9,G15:G17)</f>
        <v>964</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639</v>
      </c>
      <c r="Z18" s="932">
        <f t="shared" si="5"/>
        <v>8</v>
      </c>
      <c r="AA18" s="932">
        <f t="shared" si="5"/>
        <v>902</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96</v>
      </c>
      <c r="AK18" s="932">
        <f t="shared" si="5"/>
        <v>335</v>
      </c>
      <c r="AL18" s="932">
        <f t="shared" si="5"/>
        <v>0</v>
      </c>
      <c r="AM18" s="932">
        <f t="shared" si="5"/>
        <v>0</v>
      </c>
      <c r="AN18" s="932">
        <f t="shared" si="5"/>
        <v>0</v>
      </c>
      <c r="AO18" s="934">
        <f>IF(ISNUMBER(((NºAsuntos!I18/NºAsuntos!G18)*11)/factor_trimestre),((NºAsuntos!I18/NºAsuntos!G18)*11)/factor_trimestre," - ")</f>
        <v>4.234741784037559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857</v>
      </c>
      <c r="G19" s="820">
        <f t="shared" si="7"/>
        <v>972</v>
      </c>
      <c r="H19" s="821">
        <f t="shared" si="7"/>
        <v>0</v>
      </c>
      <c r="I19" s="820">
        <f t="shared" si="7"/>
        <v>0</v>
      </c>
      <c r="J19" s="822">
        <f t="shared" si="7"/>
        <v>0</v>
      </c>
      <c r="K19" s="820">
        <f t="shared" si="7"/>
        <v>0</v>
      </c>
      <c r="L19" s="823">
        <f t="shared" si="7"/>
        <v>0</v>
      </c>
      <c r="M19" s="820">
        <f t="shared" si="7"/>
        <v>0</v>
      </c>
      <c r="N19" s="821">
        <f t="shared" si="7"/>
        <v>131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641</v>
      </c>
      <c r="Z19" s="827">
        <f t="shared" si="8"/>
        <v>44</v>
      </c>
      <c r="AA19" s="828">
        <f t="shared" si="8"/>
        <v>910</v>
      </c>
      <c r="AB19" s="828">
        <f t="shared" si="8"/>
        <v>0</v>
      </c>
      <c r="AC19" s="828">
        <f t="shared" si="8"/>
        <v>0</v>
      </c>
      <c r="AD19" s="829">
        <f t="shared" si="8"/>
        <v>0</v>
      </c>
      <c r="AE19" s="829">
        <f t="shared" si="8"/>
        <v>2163</v>
      </c>
      <c r="AF19" s="830">
        <f t="shared" si="8"/>
        <v>0</v>
      </c>
      <c r="AG19" s="831">
        <f t="shared" si="8"/>
        <v>0</v>
      </c>
      <c r="AH19" s="832">
        <f t="shared" si="8"/>
        <v>0</v>
      </c>
      <c r="AI19" s="830">
        <f t="shared" si="8"/>
        <v>0</v>
      </c>
      <c r="AJ19" s="820">
        <f t="shared" si="8"/>
        <v>215</v>
      </c>
      <c r="AK19" s="820">
        <f t="shared" si="8"/>
        <v>619</v>
      </c>
      <c r="AL19" s="820">
        <f t="shared" si="8"/>
        <v>0</v>
      </c>
      <c r="AM19" s="833">
        <f t="shared" si="8"/>
        <v>0</v>
      </c>
      <c r="AN19" s="823">
        <f>IF(ISNUMBER(Datos!K19/Datos!J19),Datos!K19/Datos!J19," - ")</f>
        <v>0.79114342366159951</v>
      </c>
      <c r="AO19" s="823">
        <f>IF(ISNUMBER(FIND("06",Criterios!A8,1)),(IF(ISNUMBER(((Datos!R19/Datos!Q19)*11)/factor_trimestre),((Datos!R19/Datos!Q19)*11)/factor_trimestre," - ")),(IF(ISNUMBER(((Datos!L19/Datos!K19)*11)/factor_trimestre),((Datos!L19/Datos!K19)*11)/factor_trimestre," - ")))</f>
        <v>8.1804511278195484</v>
      </c>
      <c r="AP19" s="834" t="str">
        <f>IF(ISNUMBER(Datos!CI19/Datos!CJ19),Datos!CI19/Datos!CJ19," - ")</f>
        <v xml:space="preserve"> - </v>
      </c>
      <c r="AQ19" s="834">
        <f>IF(OR(ISNUMBER(FIND("01",Criterios!A8,1)),ISNUMBER(FIND("02",Criterios!A8,1)),ISNUMBER(FIND("03",Criterios!A8,1)),ISNUMBER(FIND("04",Criterios!A8,1))),(J19-Y19+K19)/(F19-K19),(I19-Y19+K19)/(F19-K19))</f>
        <v>-0.74795799299883314</v>
      </c>
      <c r="AR19" s="834">
        <f>IF(ISNUMBER((Datos!P19-Datos!Q19+O19)/(Datos!R19-Datos!P19+Datos!Q19-O19)),(Datos!P19-Datos!Q19+O19)/(Datos!R19-Datos!P19+Datos!Q19-O19)," - ")</f>
        <v>4.1907514450867052E-2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485.55157638847527</v>
      </c>
      <c r="G21" s="552">
        <f>IF(ISNUMBER(STDEV(G8:G18)),STDEV(G8:G18),"-")</f>
        <v>473.28817859735312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52.152340950974256</v>
      </c>
      <c r="AK21" s="252"/>
      <c r="AL21" s="252">
        <f>IF(ISNUMBER(STDEV(AL8:AL18)),STDEV(AL8:AL18),"-")</f>
        <v>0</v>
      </c>
      <c r="AM21" s="254">
        <f>IF(ISNUMBER(STDEV(AM8:AM18)),STDEV(AM8:AM18),"-")</f>
        <v>0</v>
      </c>
      <c r="AN21" s="539">
        <f>IF(ISNUMBER(STDEV(AN8:AN18)),STDEV(AN8:AN18),"-")</f>
        <v>0</v>
      </c>
      <c r="AO21" s="540">
        <f>IF(ISNUMBER(STDEV(AO8:AO18)),STDEV(AO8:AO18),"-")</f>
        <v>4.1128319563330873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nbC0CqmdGemu3lorLYuZGR0BFIUYbQFL1F9chgZ1qf6Wa316H1JCeL6QK9WG/SZ/r61MCO4H+pYTvwkdmlLyyw==" saltValue="VQvhhcGFLqRsMBz7xgMZj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GqdEZ8QNBQGseExq1YLw+gVNFfS2GdeyzJCpF1V48Q4zET6KBwOlkclaNb+fYztiAwms//vMMndUlOhjSRBM+w==" saltValue="IJBjDKu6fyAikJnc8xtDt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ISLAS BALEARES</v>
      </c>
    </row>
    <row r="4" spans="1:155" ht="13.5" thickBot="1">
      <c r="A4" t="str">
        <f>Criterios!A10</f>
        <v>Provincias</v>
      </c>
      <c r="B4" t="str">
        <f>Criterios!B10</f>
        <v>ILLES BALEARS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U4gDJDc+mzyxFpEKp7K6P9IpZiLhUiLcwl4dJ/MlVS97zguu7UoEsYNGM4XzYZ1AWN+yRmpF4kW5SH1ULGi7iA==" saltValue="k645DRqLAaf9joLWZSNSG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ISLAS BALEARES</v>
      </c>
    </row>
    <row r="2" spans="1:75" ht="16.5" customHeight="1">
      <c r="C2" s="488" t="str">
        <f>Criterios!A10 &amp;"  "&amp;Criterios!B10 &amp; "  " &amp; IF(NOT(ISBLANK(Criterios!A11)),Criterios!A11 &amp;"  "&amp;Criterios!B11,"")</f>
        <v>Provincias  ILLES BALEARS  Resumenes por Partidos Judiciales  MAO-MAHON</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0.2030716723549488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0.14359335658907704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M9aQSOqeLQrDtqbeY+LiMtZrKAjw5xalL7KquUqyUGRdCdsMSrfJEj+EDBrd7jrZ7G/0SwqJBWhAkuq6b9cWrA==" saltValue="4WUaKKvhWz65uIWLC4v4f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ne9+hgjrLxyyiosS5nUMygogyGrVTiLlDcwITpHaduhr/xUGBcVojzC2VBo6aPo1mo4rhKM5R2NuPEMUFG33g==" saltValue="i7P0Vo4E5mI8yVhEtd5u0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ISLAS BALEARES</v>
      </c>
      <c r="C2" s="375"/>
      <c r="D2" s="375"/>
      <c r="E2" s="375"/>
      <c r="F2" s="375"/>
    </row>
    <row r="3" spans="1:14" ht="19.5">
      <c r="A3" s="390" t="s">
        <v>115</v>
      </c>
      <c r="B3" s="391" t="str">
        <f>Criterios!A10 &amp;"  "&amp;Criterios!B10</f>
        <v>Provincias  ILLES BALEARS</v>
      </c>
      <c r="D3" s="375"/>
      <c r="E3" s="375"/>
      <c r="F3" s="375"/>
    </row>
    <row r="4" spans="1:14" ht="13.5" thickBot="1">
      <c r="A4" s="375"/>
      <c r="B4" s="391" t="str">
        <f>Criterios!A11 &amp;"  "&amp;Criterios!B11</f>
        <v>Resumenes por Partidos Judiciales  MAO-MAHON</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2</v>
      </c>
      <c r="H10" s="404">
        <f>IF(ISNUMBER(G10/B10),G10/B10," - ")</f>
        <v>2</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2028</v>
      </c>
      <c r="D12" s="404">
        <f>IF(ISNUMBER(C12/Datos!BH12),C12/Datos!BH12," - ")</f>
        <v>676</v>
      </c>
      <c r="E12" s="403">
        <f>IF(ISNUMBER(IF(J_V="SI",Datos!J12,Datos!J12+Datos!Z12)),IF(J_V="SI",Datos!J12,Datos!J12+Datos!Z12)," - ")</f>
        <v>977</v>
      </c>
      <c r="F12" s="404">
        <f>IF(ISNUMBER(E12/B12),E12/B12," - ")</f>
        <v>325.66666666666669</v>
      </c>
      <c r="G12" s="403">
        <f>IF(ISNUMBER(IF(J_V="SI",Datos!K12,Datos!K12+Datos!AA12)),IF(J_V="SI",Datos!K12,Datos!K12+Datos!AA12)," - ")</f>
        <v>584</v>
      </c>
      <c r="H12" s="404">
        <f>IF(ISNUMBER(G12/B12),G12/B12," - ")</f>
        <v>194.66666666666666</v>
      </c>
      <c r="I12" s="403">
        <f>IF(ISNUMBER(IF(J_V="SI",Datos!L12,Datos!L12+Datos!AB12)),IF(J_V="SI",Datos!L12,Datos!L12+Datos!AB12)," - ")</f>
        <v>2409</v>
      </c>
      <c r="J12" s="404">
        <f>IF(ISNUMBER(I12/B12),I12/B12," - ")</f>
        <v>803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2036</v>
      </c>
      <c r="D13" s="850" t="str">
        <f>IF(ISNUMBER(C13/Datos!BI13),C13/Datos!BI13," - ")</f>
        <v xml:space="preserve"> - </v>
      </c>
      <c r="E13" s="849">
        <f>SUBTOTAL(9,E8:E12)</f>
        <v>979</v>
      </c>
      <c r="F13" s="850">
        <f>IF(ISNUMBER(E13/B13),E13/B13," - ")</f>
        <v>326.33333333333331</v>
      </c>
      <c r="G13" s="849">
        <f>SUBTOTAL(9,G8:G12)</f>
        <v>586</v>
      </c>
      <c r="H13" s="850">
        <f>IF(ISNUMBER(G13/B13),G13/B13," - ")</f>
        <v>195.33333333333334</v>
      </c>
      <c r="I13" s="849">
        <f>SUBTOTAL(9,I8:I12)</f>
        <v>2417</v>
      </c>
      <c r="J13" s="850">
        <f>IF(ISNUMBER(I13/B13),I13/B13," - ")</f>
        <v>805.66666666666663</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841</v>
      </c>
      <c r="D16" s="404">
        <f>IF(ISNUMBER(C16/Datos!BH16),C16/Datos!BH16," - ")</f>
        <v>280.33333333333331</v>
      </c>
      <c r="E16" s="403">
        <f>IF(ISNUMBER(IF(D_I="SI",Datos!J16,Datos!J16+Datos!AD16)),IF(D_I="SI",Datos!J16,Datos!J16+Datos!AD16)," - ")</f>
        <v>515</v>
      </c>
      <c r="F16" s="404">
        <f>IF(ISNUMBER(E16/B16),E16/B16," - ")</f>
        <v>171.66666666666666</v>
      </c>
      <c r="G16" s="403">
        <f>IF(ISNUMBER(IF(D_I="SI",Datos!K16,Datos!K16+Datos!AE16)),IF(D_I="SI",Datos!K16,Datos!K16+Datos!AE16)," - ")</f>
        <v>583</v>
      </c>
      <c r="H16" s="404">
        <f>IF(ISNUMBER(G16/B16),G16/B16," - ")</f>
        <v>194.33333333333334</v>
      </c>
      <c r="I16" s="403">
        <f>IF(ISNUMBER(IF(D_I="SI",Datos!L16,Datos!L16+Datos!AF16)),IF(D_I="SI",Datos!L16,Datos!L16+Datos!AF16)," - ")</f>
        <v>781</v>
      </c>
      <c r="J16" s="404">
        <f>IF(ISNUMBER(I16/B16),I16/B16," - ")</f>
        <v>260.33333333333331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123</v>
      </c>
      <c r="D17" s="404">
        <f>IF(ISNUMBER(C17/Datos!BH17),C17/Datos!BH17," - ")</f>
        <v>123</v>
      </c>
      <c r="E17" s="403">
        <f>IF(ISNUMBER(IF(D_I="SI",Datos!J17,Datos!J17+Datos!AD17)),IF(D_I="SI",Datos!J17,Datos!J17+Datos!AD17)," - ")</f>
        <v>54</v>
      </c>
      <c r="F17" s="404">
        <f>IF(ISNUMBER(E17/B17),E17/B17," - ")</f>
        <v>54</v>
      </c>
      <c r="G17" s="403">
        <f>IF(ISNUMBER(IF(D_I="SI",Datos!K17,Datos!K17+Datos!AE17)),IF(D_I="SI",Datos!K17,Datos!K17+Datos!AE17)," - ")</f>
        <v>56</v>
      </c>
      <c r="H17" s="404">
        <f>IF(ISNUMBER(G17/B17),G17/B17," - ")</f>
        <v>56</v>
      </c>
      <c r="I17" s="403">
        <f>IF(ISNUMBER(IF(D_I="SI",Datos!L17,Datos!L17+Datos!AF17)),IF(D_I="SI",Datos!L17,Datos!L17+Datos!AF17)," - ")</f>
        <v>121</v>
      </c>
      <c r="J17" s="404">
        <f>IF(ISNUMBER(I17/B17),I17/B17," - ")</f>
        <v>121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964</v>
      </c>
      <c r="D18" s="850" t="str">
        <f>IF(ISNUMBER(C18/Datos!BI18),C18/Datos!BI18," - ")</f>
        <v xml:space="preserve"> - </v>
      </c>
      <c r="E18" s="849">
        <f>SUBTOTAL(9,E14:E17)</f>
        <v>569</v>
      </c>
      <c r="F18" s="850">
        <f>IF(ISNUMBER(E18/B18),E18/B18," - ")</f>
        <v>189.66666666666666</v>
      </c>
      <c r="G18" s="849">
        <f>SUBTOTAL(9,G14:G17)</f>
        <v>639</v>
      </c>
      <c r="H18" s="850">
        <f>IF(ISNUMBER(G18/B18),G18/B18," - ")</f>
        <v>213</v>
      </c>
      <c r="I18" s="849">
        <f>SUBTOTAL(9,I14:I17)</f>
        <v>902</v>
      </c>
      <c r="J18" s="850">
        <f>IF(ISNUMBER(I18/B18),I18/B18," - ")</f>
        <v>300.66666666666669</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3000</v>
      </c>
      <c r="D19" s="795" t="str">
        <f>IF(ISNUMBER(C19/Datos!BI19),C19/Datos!BI19," - ")</f>
        <v xml:space="preserve"> - </v>
      </c>
      <c r="E19" s="794">
        <f>SUBTOTAL(9,E9:E18)</f>
        <v>1548</v>
      </c>
      <c r="F19" s="795">
        <f>IF(ISNUMBER(E19/B19),E19/B19," - ")</f>
        <v>516</v>
      </c>
      <c r="G19" s="794">
        <f>SUBTOTAL(9,G9:G18)</f>
        <v>1225</v>
      </c>
      <c r="H19" s="795">
        <f>IF(ISNUMBER(G19/B19),G19/B19," - ")</f>
        <v>408.33333333333331</v>
      </c>
      <c r="I19" s="794">
        <f>SUBTOTAL(9,I9:I18)</f>
        <v>3319</v>
      </c>
      <c r="J19" s="795">
        <f>IF(ISNUMBER(I19/B19),I19/B19," - ")</f>
        <v>1106.3333333333333</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RBl5xj+IVyJPIi4USwVXxaS3jfFk13BrmHoukmDjNUuuGnHOXbea+gcbEFin7vAPviK6jmsky+v4rCFgPlJdWA==" saltValue="JW+BF93GDUueyA2TtZUc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ISLAS BALEARES</v>
      </c>
      <c r="W1"/>
      <c r="X1"/>
    </row>
    <row r="2" spans="1:65" ht="16.5" customHeight="1">
      <c r="C2" s="488" t="str">
        <f>Criterios!A10 &amp;"  "&amp;Criterios!B10 &amp; "  " &amp; IF(NOT(ISBLANK(Criterios!A11)),Criterios!A11 &amp;"  "&amp;Criterios!B11,"")</f>
        <v>Provincias  ILLES BALEARS  Resumenes por Partidos Judiciales  MAO-MAHON</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2066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117</v>
      </c>
      <c r="AM12" s="690">
        <f>IF(ISNUMBER(Datos!N12+DatosP!N16),Datos!N12+DatosP!N16," - ")</f>
        <v>284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12.375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3.9235412474849095E-2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115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35</v>
      </c>
      <c r="AE13" s="939">
        <f t="shared" si="1"/>
        <v>0</v>
      </c>
      <c r="AF13" s="939">
        <f t="shared" si="1"/>
        <v>8</v>
      </c>
      <c r="AG13" s="939">
        <f t="shared" si="1"/>
        <v>0</v>
      </c>
      <c r="AH13" s="939">
        <f t="shared" si="1"/>
        <v>2066</v>
      </c>
      <c r="AI13" s="939">
        <f t="shared" si="1"/>
        <v>0</v>
      </c>
      <c r="AJ13" s="939">
        <f t="shared" si="1"/>
        <v>0</v>
      </c>
      <c r="AK13" s="939">
        <f t="shared" si="1"/>
        <v>0</v>
      </c>
      <c r="AL13" s="939">
        <f t="shared" si="1"/>
        <v>119</v>
      </c>
      <c r="AM13" s="939">
        <f t="shared" si="1"/>
        <v>284</v>
      </c>
      <c r="AN13" s="939">
        <f t="shared" si="1"/>
        <v>0</v>
      </c>
      <c r="AO13" s="939">
        <f t="shared" si="1"/>
        <v>0</v>
      </c>
      <c r="AP13" s="944">
        <f>IF(ISNUMBER(((Datos!L13/Datos!K13)*11)/factor_trimestre),((Datos!L13/Datos!K13)*11)/factor_trimestre," - ")</f>
        <v>12.698924731182798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3.9235412474849095E-2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4.234741784037559</v>
      </c>
      <c r="AQ18" s="944">
        <f>IF(ISNUMBER(((Datos!M18/Datos!L18)*11)/factor_trimestre),((Datos!M18/Datos!L18)*11)/factor_trimestre," - ")</f>
        <v>0.31929046563192903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v>
      </c>
      <c r="AW18" s="946">
        <f>IF(ISNUMBER((Datos!Q18-Datos!R18)/(Datos!S18-Datos!Q18+Datos!R18)),(Datos!Q18-Datos!R18)/(Datos!S18-Datos!Q18+Datos!R18)," - ")</f>
        <v>-8.9988751406074236E-2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115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35</v>
      </c>
      <c r="AE19" s="957">
        <f t="shared" si="5"/>
        <v>0</v>
      </c>
      <c r="AF19" s="958">
        <f t="shared" si="5"/>
        <v>8</v>
      </c>
      <c r="AG19" s="958">
        <f t="shared" si="5"/>
        <v>0</v>
      </c>
      <c r="AH19" s="958">
        <f t="shared" si="5"/>
        <v>2066</v>
      </c>
      <c r="AI19" s="958">
        <f t="shared" si="5"/>
        <v>0</v>
      </c>
      <c r="AJ19" s="959">
        <f t="shared" si="5"/>
        <v>0</v>
      </c>
      <c r="AK19" s="959">
        <f t="shared" si="5"/>
        <v>0</v>
      </c>
      <c r="AL19" s="951">
        <f t="shared" si="5"/>
        <v>119</v>
      </c>
      <c r="AM19" s="951">
        <f t="shared" si="5"/>
        <v>284</v>
      </c>
      <c r="AN19" s="951">
        <f t="shared" si="5"/>
        <v>0</v>
      </c>
      <c r="AO19" s="951">
        <f t="shared" si="5"/>
        <v>0</v>
      </c>
      <c r="AP19" s="951">
        <f>IF(ISNUMBER(((Datos!L19/Datos!K19)*11)/factor_trimestre),((Datos!L19/Datos!K19)*11)/factor_trimestre," - ")</f>
        <v>8.1804511278195484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4.1907514450867052E-2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67.559850009701279</v>
      </c>
      <c r="AM21" s="736"/>
      <c r="AN21" s="736">
        <f>IF(ISNUMBER(STDEV(AN8:AN18)),STDEV(AN8:AN18),"-")</f>
        <v>0</v>
      </c>
      <c r="AO21" s="742">
        <f>IF(ISNUMBER(STDEV(AO8:AO18)),STDEV(AO8:AO18),"-")</f>
        <v>0</v>
      </c>
      <c r="AP21" s="779">
        <f>IF(ISNUMBER(STDEV(AP8:AP18)),STDEV(AP8:AP18),"-")</f>
        <v>4.0716446304205611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qVQP57di3ZbMkVTB0WAyFlCdVNbe/j7mNovLXA2EeYB0T/BBrXqdlxYIZu9is4SNS6cf3RmKXh5htY2y9CsRsA==" saltValue="hjukpe/s1JqcFByo5wzh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ISLAS BALEARES</v>
      </c>
      <c r="C2" s="375"/>
      <c r="E2" s="375"/>
      <c r="F2" s="375"/>
      <c r="G2" s="375"/>
      <c r="H2" s="375"/>
    </row>
    <row r="3" spans="1:15" ht="39">
      <c r="A3" s="415" t="s">
        <v>218</v>
      </c>
      <c r="B3" s="391" t="str">
        <f>Criterios!A10 &amp;"  "&amp;Criterios!B10</f>
        <v>Provincias  ILLES BALEARS</v>
      </c>
      <c r="C3" s="415"/>
      <c r="F3" s="375"/>
      <c r="G3" s="375"/>
      <c r="H3" s="375"/>
    </row>
    <row r="4" spans="1:15" ht="13.5" thickBot="1">
      <c r="A4" s="375"/>
      <c r="B4" s="391" t="str">
        <f>Criterios!A11 &amp;"  "&amp;Criterios!B11</f>
        <v>Resumenes por Partidos Judiciales  MAO-MAHON</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mjN57UTLt0KD5oVaiCRJ2lkTmaiwpVIjVaHSWorvmdfzuQgWtOO1MsTcIdxiNv6ASE01Wu+8C3KWjRKTQRBrww==" saltValue="8lLm9aEY4s4HNuimdddC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ISLAS BALEARES</v>
      </c>
      <c r="C2" s="391"/>
    </row>
    <row r="3" spans="1:9" ht="19.5">
      <c r="A3" s="425" t="s">
        <v>11</v>
      </c>
      <c r="B3" s="391" t="str">
        <f>Criterios!A10 &amp;"  "&amp;Criterios!B10</f>
        <v>Provincias  ILLES BALEARS</v>
      </c>
      <c r="C3" s="391"/>
      <c r="D3" s="425"/>
    </row>
    <row r="4" spans="1:9" ht="13.5" thickBot="1">
      <c r="B4" s="391" t="str">
        <f>Criterios!A11 &amp;"  "&amp;Criterios!B11</f>
        <v>Resumenes por Partidos Judiciales  MAO-MAHON</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117</v>
      </c>
      <c r="E12" s="404">
        <f t="shared" si="0"/>
        <v>39</v>
      </c>
      <c r="F12" s="403">
        <f>IF(ISNUMBER(Datos!N12),Datos!N12," - ")</f>
        <v>284</v>
      </c>
      <c r="G12" s="404">
        <f t="shared" si="1"/>
        <v>94.666666666666671</v>
      </c>
      <c r="H12" s="403">
        <f>IF(ISNUMBER(Datos!O12),Datos!O12," - ")</f>
        <v>210</v>
      </c>
      <c r="I12" s="404">
        <f t="shared" si="2"/>
        <v>70</v>
      </c>
    </row>
    <row r="13" spans="1:9" ht="14.25" thickTop="1" thickBot="1">
      <c r="A13" s="848" t="str">
        <f>Datos!A13</f>
        <v>TOTAL</v>
      </c>
      <c r="B13" s="849">
        <f>Datos!AO13</f>
        <v>4</v>
      </c>
      <c r="C13" s="851">
        <f>Datos!AR13</f>
        <v>3</v>
      </c>
      <c r="D13" s="849">
        <f>SUBTOTAL(9,D9:D12)</f>
        <v>119</v>
      </c>
      <c r="E13" s="850">
        <f t="shared" si="0"/>
        <v>29.75</v>
      </c>
      <c r="F13" s="849">
        <f>SUBTOTAL(9,F9:F12)</f>
        <v>284</v>
      </c>
      <c r="G13" s="850">
        <f t="shared" si="1"/>
        <v>71</v>
      </c>
      <c r="H13" s="849">
        <f>SUBTOTAL(9,H9:H12)</f>
        <v>210</v>
      </c>
      <c r="I13" s="850">
        <f>IF(ISNUMBER(H13/B13),H13/B13," - ")</f>
        <v>52.5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85</v>
      </c>
      <c r="E16" s="404">
        <f t="shared" si="3"/>
        <v>28.333333333333332</v>
      </c>
      <c r="F16" s="403">
        <f>IF(ISNUMBER(Datos!N16),Datos!N16," - ")</f>
        <v>298</v>
      </c>
      <c r="G16" s="404">
        <f t="shared" si="4"/>
        <v>99.333333333333329</v>
      </c>
      <c r="H16" s="403">
        <f>IF(ISNUMBER(Datos!O16),Datos!O16," - ")</f>
        <v>3</v>
      </c>
      <c r="I16" s="404">
        <f t="shared" si="5"/>
        <v>1</v>
      </c>
    </row>
    <row r="17" spans="1:9"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37</v>
      </c>
      <c r="G17" s="404">
        <f>IF(ISNUMBER(F17/B17),F17/B17," - ")</f>
        <v>37</v>
      </c>
      <c r="H17" s="403">
        <f>IF(ISNUMBER(Datos!O17),Datos!O17," - ")</f>
        <v>0</v>
      </c>
      <c r="I17" s="404">
        <f t="shared" si="5"/>
        <v>0</v>
      </c>
    </row>
    <row r="18" spans="1:9" ht="14.25" thickTop="1" thickBot="1">
      <c r="A18" s="848" t="str">
        <f>Datos!A18</f>
        <v>TOTAL</v>
      </c>
      <c r="B18" s="849">
        <f>Datos!AO18</f>
        <v>4</v>
      </c>
      <c r="C18" s="851">
        <f>Datos!AR18</f>
        <v>3</v>
      </c>
      <c r="D18" s="849">
        <f>SUBTOTAL(9,D15:D17)</f>
        <v>96</v>
      </c>
      <c r="E18" s="850">
        <f t="shared" si="3"/>
        <v>24</v>
      </c>
      <c r="F18" s="849">
        <f>SUBTOTAL(9,F15:F17)</f>
        <v>335</v>
      </c>
      <c r="G18" s="850">
        <f t="shared" si="4"/>
        <v>83.75</v>
      </c>
      <c r="H18" s="849">
        <f>SUBTOTAL(9,H15:H17)</f>
        <v>3</v>
      </c>
      <c r="I18" s="850">
        <f>IF(ISNUMBER(H18/B18),H18/B18," - ")</f>
        <v>0.75</v>
      </c>
    </row>
    <row r="19" spans="1:9" ht="14.25" thickTop="1" thickBot="1">
      <c r="A19" s="793" t="str">
        <f>Datos!A19</f>
        <v>TOTAL JURISDICCIONES</v>
      </c>
      <c r="B19" s="794">
        <f>Datos!AP19</f>
        <v>3</v>
      </c>
      <c r="C19" s="794">
        <f>Datos!AR19</f>
        <v>3</v>
      </c>
      <c r="D19" s="794">
        <f>SUBTOTAL(9,D8:D18)</f>
        <v>215</v>
      </c>
      <c r="E19" s="795">
        <f>IF(ISNUMBER(D19/B19),D19/B19," - ")</f>
        <v>71.666666666666671</v>
      </c>
      <c r="F19" s="794">
        <f>SUBTOTAL(9,F8:F18)</f>
        <v>619</v>
      </c>
      <c r="G19" s="795">
        <f>IF(ISNUMBER(F19/B19),F19/B19," - ")</f>
        <v>206.33333333333334</v>
      </c>
      <c r="H19" s="794">
        <f>SUBTOTAL(9,H8:H18)</f>
        <v>213</v>
      </c>
      <c r="I19" s="795">
        <f>IF(ISNUMBER(H19/B19),H19/B19," - ")</f>
        <v>71</v>
      </c>
    </row>
    <row r="22" spans="1:9">
      <c r="A22" s="391" t="str">
        <f>Criterios!A4</f>
        <v>Fecha Informe: 29 may. 2024</v>
      </c>
    </row>
    <row r="27" spans="1:9">
      <c r="A27" s="414"/>
    </row>
  </sheetData>
  <sheetProtection algorithmName="SHA-512" hashValue="rpo9QoGoIjh8+Xwb6ELkKrAnBprHwUPzE3yi2IF1Zgkdehhpe8MKfiee1ww8JiaHl+f/oM1QbqOuEza96s5xaA==" saltValue="OnzJJDwr0DcnXIM53Om5t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ISLAS BALEARES</v>
      </c>
    </row>
    <row r="3" spans="1:4" ht="19.5">
      <c r="A3" s="429" t="s">
        <v>32</v>
      </c>
      <c r="B3" s="391" t="str">
        <f>Criterios!A10 &amp;"  "&amp;Criterios!B10</f>
        <v>Provincias  ILLES BALEARS</v>
      </c>
    </row>
    <row r="4" spans="1:4" ht="13.5" thickBot="1">
      <c r="B4" s="391" t="str">
        <f>Criterios!A11 &amp;"  "&amp;Criterios!B11</f>
        <v>Resumenes por Partidos Judiciales  MAO-MAHON</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113</v>
      </c>
      <c r="C12" s="434">
        <f>IF(ISNUMBER(Datos!Q12),Datos!Q12," - ")</f>
        <v>35</v>
      </c>
      <c r="D12" s="408">
        <f>IF(ISNUMBER(Datos!R12),Datos!R12," - ")</f>
        <v>2066</v>
      </c>
    </row>
    <row r="13" spans="1:4" ht="14.25" thickTop="1" thickBot="1">
      <c r="A13" s="848" t="str">
        <f>Datos!A13</f>
        <v>TOTAL</v>
      </c>
      <c r="B13" s="849">
        <f>SUBTOTAL(9,B9:B12)</f>
        <v>115</v>
      </c>
      <c r="C13" s="853">
        <f>SUBTOTAL(9,C9:C12)</f>
        <v>36</v>
      </c>
      <c r="D13" s="851">
        <f>SUBTOTAL(9,D9:D12)</f>
        <v>2075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8</v>
      </c>
      <c r="D16" s="408">
        <f>IF(ISNUMBER(Datos!R16),Datos!R16," - ")</f>
        <v>87</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16</v>
      </c>
      <c r="C18" s="853">
        <f>SUBTOTAL(9,C15:C17)</f>
        <v>8</v>
      </c>
      <c r="D18" s="851">
        <f>SUBTOTAL(9,D15:D17)</f>
        <v>88</v>
      </c>
    </row>
    <row r="19" spans="1:4" ht="16.5" customHeight="1" thickTop="1" thickBot="1">
      <c r="A19" s="793" t="str">
        <f>Datos!A19</f>
        <v>TOTAL JURISDICCIONES</v>
      </c>
      <c r="B19" s="798">
        <f>SUBTOTAL(9,B8:B18)</f>
        <v>131</v>
      </c>
      <c r="C19" s="799">
        <f>SUBTOTAL(9,C8:C18)</f>
        <v>44</v>
      </c>
      <c r="D19" s="800">
        <f>SUBTOTAL(9,D8:D18)</f>
        <v>2163</v>
      </c>
    </row>
    <row r="20" spans="1:4" ht="7.5" customHeight="1"/>
    <row r="21" spans="1:4" ht="6" customHeight="1"/>
    <row r="22" spans="1:4">
      <c r="A22" s="391" t="str">
        <f>Criterios!A4</f>
        <v>Fecha Informe: 29 may. 2024</v>
      </c>
    </row>
    <row r="27" spans="1:4">
      <c r="A27" s="414"/>
    </row>
  </sheetData>
  <sheetProtection algorithmName="SHA-512" hashValue="PUDflFo2uf53YQyZhywARJExsNRhjGYO6/ZaEB4IGrp1DeQTiKAGXeEXccz2pr+2F7STc6veBA0maINrSz9B5Q==" saltValue="v/b+qLxbC9iW3L00YfIs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ISLAS BALEARES</v>
      </c>
    </row>
    <row r="3" spans="1:11" ht="18.75" customHeight="1">
      <c r="A3" s="429" t="s">
        <v>118</v>
      </c>
      <c r="B3" s="391" t="str">
        <f>Criterios!A10 &amp;"  "&amp;Criterios!B10</f>
        <v>Provincias  ILLES BALEARS</v>
      </c>
    </row>
    <row r="4" spans="1:11" ht="10.5" customHeight="1" thickBot="1">
      <c r="B4" s="391" t="str">
        <f>Criterios!A11 &amp;"  "&amp;Criterios!B11</f>
        <v>Resumenes por Partidos Judiciales  MAO-MAHON</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0.14285714285714285</v>
      </c>
      <c r="C10" s="456">
        <f>IF(ISNUMBER((Datos!J10-Datos!T10)/Datos!T10),(Datos!J10-Datos!T10)/Datos!T10," - ")</f>
        <v>1</v>
      </c>
      <c r="D10" s="456">
        <f>IF(ISNUMBER((Datos!K10-Datos!U10)/Datos!U10),(Datos!K10-Datos!U10)/Datos!U10," - ")</f>
        <v>-0.5</v>
      </c>
      <c r="E10" s="456">
        <f>IF(ISNUMBER((Datos!L10-Datos!V10)/Datos!V10),(Datos!L10-Datos!V10)/Datos!V10," - ")</f>
        <v>1</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-0.75</v>
      </c>
      <c r="I10" s="456">
        <f>IF(ISNUMBER(((NºAsuntos!I10/NºAsuntos!G10)-Datos!BE10)/Datos!BE10),((NºAsuntos!I10/NºAsuntos!G10)-Datos!BE10)/Datos!BE10," - ")</f>
        <v>3</v>
      </c>
      <c r="J10" s="461">
        <f>IF(ISNUMBER((('Resol  Asuntos'!D10/NºAsuntos!G10)-Datos!BF10)/Datos!BF10),(('Resol  Asuntos'!D10/NºAsuntos!G10)-Datos!BF10)/Datos!BF10," - ")</f>
        <v>0</v>
      </c>
      <c r="K10" s="462">
        <f>IF(ISNUMBER((((NºAsuntos!C10+NºAsuntos!E10)/NºAsuntos!G10)-Datos!BG10)/Datos!BG10),(((NºAsuntos!C10+NºAsuntos!E10)/NºAsuntos!G10)-Datos!BG10)/Datos!BG10," - ")</f>
        <v>1.5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0.23507917174177831</v>
      </c>
      <c r="C12" s="456">
        <f>IF(ISNUMBER(
   IF(J_V="SI",(Datos!J12-Datos!T12)/Datos!T12,(Datos!J12+Datos!Z12-(Datos!T12+Datos!AH12))/(Datos!T12+Datos!AH12))
     ),IF(J_V="SI",(Datos!J12-Datos!T12)/Datos!T12,(Datos!J12+Datos!Z12-(Datos!T12+Datos!AH12))/(Datos!T12+Datos!AH12))," - ")</f>
        <v>0.69618055555555558</v>
      </c>
      <c r="D12" s="456">
        <f>IF(ISNUMBER(
   IF(J_V="SI",(Datos!K12-Datos!U12)/Datos!U12,(Datos!K12+Datos!AA12-(Datos!U12+Datos!AI12))/(Datos!U12+Datos!AI12))
     ),IF(J_V="SI",(Datos!K12-Datos!U12)/Datos!U12,(Datos!K12+Datos!AA12-(Datos!U12+Datos!AI12))/(Datos!U12+Datos!AI12))," - ")</f>
        <v>0.20164609053497942</v>
      </c>
      <c r="E12" s="456">
        <f>IF(ISNUMBER(
   IF(J_V="SI",(Datos!L12-Datos!V12)/Datos!V12,(Datos!L12+Datos!AB12-(Datos!V12+Datos!AJ12))/(Datos!V12+Datos!AJ12))
     ),IF(J_V="SI",(Datos!L12-Datos!V12)/Datos!V12,(Datos!L12+Datos!AB12-(Datos!V12+Datos!AJ12))/(Datos!V12+Datos!AJ12))," - ")</f>
        <v>0.38687392055267705</v>
      </c>
      <c r="F12" s="456">
        <f>IF(ISNUMBER((Datos!M12-Datos!W12)/Datos!W12),(Datos!M12-Datos!W12)/Datos!W12," - ")</f>
        <v>-0.2251655629139073</v>
      </c>
      <c r="G12" s="457">
        <f>IF(ISNUMBER((Datos!N12-Datos!X12)/Datos!X12),(Datos!N12-Datos!X12)/Datos!X12," - ")</f>
        <v>0.60451977401129942</v>
      </c>
      <c r="H12" s="455">
        <f>IF(ISNUMBER(((NºAsuntos!G12/NºAsuntos!E12)-Datos!BD12)/Datos!BD12),((NºAsuntos!G12/NºAsuntos!E12)-Datos!BD12)/Datos!BD12," - ")</f>
        <v>-0.29155767845634784</v>
      </c>
      <c r="I12" s="456">
        <f>IF(ISNUMBER(((NºAsuntos!I12/NºAsuntos!G12)-Datos!BE12)/Datos!BE12),((NºAsuntos!I12/NºAsuntos!G12)-Datos!BE12)/Datos!BE12," - ")</f>
        <v>0.1541450777202073</v>
      </c>
      <c r="J12" s="461">
        <f>IF(ISNUMBER((('Resol  Asuntos'!D12/NºAsuntos!G12)-Datos!BF12)/Datos!BF12),(('Resol  Asuntos'!D12/NºAsuntos!G12)-Datos!BF12)/Datos!BF12," - ")</f>
        <v>-0.44990712793127469</v>
      </c>
      <c r="K12" s="462">
        <f>IF(ISNUMBER((((NºAsuntos!C12+NºAsuntos!E12)/NºAsuntos!G12)-Datos!BG12)/Datos!BG12),(((NºAsuntos!C12+NºAsuntos!E12)/NºAsuntos!G12)-Datos!BG12)/Datos!BG12," - ")</f>
        <v>0.12747353533357211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0.23468768950879321</v>
      </c>
      <c r="C13" s="855">
        <f>IF(ISNUMBER(
   IF(J_V="SI",(Datos!J13-Datos!T13)/Datos!T13,(Datos!J13+Datos!Z13-(Datos!T13+Datos!AH13))/(Datos!T13+Datos!AH13))
     ),IF(J_V="SI",(Datos!J13-Datos!T13)/Datos!T13,(Datos!J13+Datos!Z13-(Datos!T13+Datos!AH13))/(Datos!T13+Datos!AH13))," - ")</f>
        <v>0.69670710571923744</v>
      </c>
      <c r="D13" s="855">
        <f>IF(ISNUMBER(
   IF(J_V="SI",(Datos!K13-Datos!U13)/Datos!U13,(Datos!K13+Datos!AA13-(Datos!U13+Datos!AI13))/(Datos!U13+Datos!AI13))
     ),IF(J_V="SI",(Datos!K13-Datos!U13)/Datos!U13,(Datos!K13+Datos!AA13-(Datos!U13+Datos!AI13))/(Datos!U13+Datos!AI13))," - ")</f>
        <v>0.19591836734693877</v>
      </c>
      <c r="E13" s="855">
        <f>IF(ISNUMBER(
   IF(J_V="SI",(Datos!L13-Datos!V13)/Datos!V13,(Datos!L13+Datos!AB13-(Datos!V13+Datos!AJ13))/(Datos!V13+Datos!AJ13))
     ),IF(J_V="SI",(Datos!L13-Datos!V13)/Datos!V13,(Datos!L13+Datos!AB13-(Datos!V13+Datos!AJ13))/(Datos!V13+Datos!AJ13))," - ")</f>
        <v>0.38828259620907524</v>
      </c>
      <c r="F13" s="856">
        <f>IF(ISNUMBER((Datos!M13-Datos!W13)/Datos!W13),(Datos!M13-Datos!W13)/Datos!W13," - ")</f>
        <v>-0.23225806451612904</v>
      </c>
      <c r="G13" s="857">
        <f>IF(ISNUMBER((Datos!N13-Datos!X13)/Datos!X13),(Datos!N13-Datos!X13)/Datos!X13," - ")</f>
        <v>0.60451977401129942</v>
      </c>
      <c r="H13" s="857">
        <f>IF(ISNUMBER(((NºAsuntos!G13/NºAsuntos!E13)-Datos!BD13)/Datos!BD13),((NºAsuntos!G13/NºAsuntos!E13)-Datos!BD13)/Datos!BD13," - ")</f>
        <v>-0.29515332179858667</v>
      </c>
      <c r="I13" s="857">
        <f>IF(ISNUMBER(((NºAsuntos!I13/NºAsuntos!G13)-Datos!BE13)/Datos!BE13),((NºAsuntos!I13/NºAsuntos!G13)-Datos!BE13)/Datos!BE13," - ")</f>
        <v>0.16085063505537006</v>
      </c>
      <c r="J13" s="857">
        <f>IF(ISNUMBER((('Resol  Asuntos'!D13/NºAsuntos!G13)-Datos!BF13)/Datos!BF13),(('Resol  Asuntos'!D13/NºAsuntos!G13)-Datos!BF13)/Datos!BF13," - ")</f>
        <v>-0.45024795881809437</v>
      </c>
      <c r="K13" s="857">
        <f>IF(ISNUMBER((((NºAsuntos!C13+NºAsuntos!E13)/NºAsuntos!G13)-Datos!BG13)/Datos!BG13),(((NºAsuntos!C13+NºAsuntos!E13)/NºAsuntos!G13)-Datos!BG13)/Datos!BG13," - ")</f>
        <v>0.1325584390495203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0.18785310734463276</v>
      </c>
      <c r="C16" s="456">
        <f>IF(ISNUMBER(
   IF(D_I="SI",(Datos!J16-Datos!T16)/Datos!T16,(Datos!J16+Datos!AD16-(Datos!T16+Datos!AL16))/(Datos!T16+Datos!AL16))
     ),IF(D_I="SI",(Datos!J16-Datos!T16)/Datos!T16,(Datos!J16+Datos!AD16-(Datos!T16+Datos!AL16))/(Datos!T16+Datos!AL16))," - ")</f>
        <v>0.22619047619047619</v>
      </c>
      <c r="D16" s="456">
        <f>IF(ISNUMBER(
   IF(D_I="SI",(Datos!K16-Datos!U16)/Datos!U16,(Datos!K16+Datos!AE16-(Datos!U16+Datos!AM16))/(Datos!U16+Datos!AM16))
     ),IF(D_I="SI",(Datos!K16-Datos!U16)/Datos!U16,(Datos!K16+Datos!AE16-(Datos!U16+Datos!AM16))/(Datos!U16+Datos!AM16))," - ")</f>
        <v>0.36854460093896713</v>
      </c>
      <c r="E16" s="456">
        <f>IF(ISNUMBER(
   IF(D_I="SI",(Datos!L16-Datos!V16)/Datos!V16,(Datos!L16+Datos!AF16-(Datos!V16+Datos!AN16))/(Datos!V16+Datos!AN16))
     ),IF(D_I="SI",(Datos!L16-Datos!V16)/Datos!V16,(Datos!L16+Datos!AF16-(Datos!V16+Datos!AN16))/(Datos!V16+Datos!AN16))," - ")</f>
        <v>0.1221264367816092</v>
      </c>
      <c r="F16" s="456">
        <f>IF(ISNUMBER((Datos!M16-Datos!W16)/Datos!W16),(Datos!M16-Datos!W16)/Datos!W16," - ")</f>
        <v>8.9743589743589744E-2</v>
      </c>
      <c r="G16" s="457">
        <f>IF(ISNUMBER((Datos!N16-Datos!X16)/Datos!X16),(Datos!N16-Datos!X16)/Datos!X16," - ")</f>
        <v>0.17786561264822134</v>
      </c>
      <c r="H16" s="455">
        <f>IF(ISNUMBER(((NºAsuntos!G16/NºAsuntos!E16)-Datos!BD16)/Datos!BD16),((NºAsuntos!G16/NºAsuntos!E16)-Datos!BD16)/Datos!BD16," - ")</f>
        <v>0.1160946260084781</v>
      </c>
      <c r="I16" s="456">
        <f>IF(ISNUMBER(((NºAsuntos!I16/NºAsuntos!G16)-Datos!BE16)/Datos!BE16),((NºAsuntos!I16/NºAsuntos!G16)-Datos!BE16)/Datos!BE16," - ")</f>
        <v>-0.18005855562784653</v>
      </c>
      <c r="J16" s="461">
        <f>IF(ISNUMBER((('Resol  Asuntos'!D16/NºAsuntos!G16)-Datos!BF16)/Datos!BF16),(('Resol  Asuntos'!D16/NºAsuntos!G16)-Datos!BF16)/Datos!BF16," - ")</f>
        <v>-0.2037208074943925</v>
      </c>
      <c r="K16" s="462">
        <f>IF(ISNUMBER((((NºAsuntos!C16+NºAsuntos!E16)/NºAsuntos!G16)-Datos!BG16)/Datos!BG16),(((NºAsuntos!C16+NºAsuntos!E16)/NºAsuntos!G16)-Datos!BG16)/Datos!BG16," - ")</f>
        <v>-0.12160140140870768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0.21782178217821782</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0.36585365853658536</v>
      </c>
      <c r="E17" s="456">
        <f>IF(ISNUMBER(
   IF(D_I="SI",(Datos!L17-Datos!V17)/Datos!V17,(Datos!L17+Datos!AF17-(Datos!V17+Datos!AN17))/(Datos!V17+Datos!AN17))
     ),IF(D_I="SI",(Datos!L17-Datos!V17)/Datos!V17,(Datos!L17+Datos!AF17-(Datos!V17+Datos!AN17))/(Datos!V17+Datos!AN17))," - ")</f>
        <v>0.15238095238095239</v>
      </c>
      <c r="F17" s="456">
        <f>IF(ISNUMBER((Datos!M17-Datos!W17)/Datos!W17),(Datos!M17-Datos!W17)/Datos!W17," - ")</f>
        <v>2.6666666666666665</v>
      </c>
      <c r="G17" s="457">
        <f>IF(ISNUMBER((Datos!N17-Datos!X17)/Datos!X17),(Datos!N17-Datos!X17)/Datos!X17," - ")</f>
        <v>0.15625</v>
      </c>
      <c r="H17" s="455">
        <f>IF(ISNUMBER(((NºAsuntos!G17/NºAsuntos!E17)-Datos!BD17)/Datos!BD17),((NºAsuntos!G17/NºAsuntos!E17)-Datos!BD17)/Datos!BD17," - ")</f>
        <v>0.13821138211382109</v>
      </c>
      <c r="I17" s="456">
        <f>IF(ISNUMBER(((NºAsuntos!I17/NºAsuntos!G17)-Datos!BE17)/Datos!BE17),((NºAsuntos!I17/NºAsuntos!G17)-Datos!BE17)/Datos!BE17," - ")</f>
        <v>-0.1562925170068028</v>
      </c>
      <c r="J17" s="461">
        <f>IF(ISNUMBER((('Resol  Asuntos'!D17/NºAsuntos!G17)-Datos!BF17)/Datos!BF17),(('Resol  Asuntos'!D17/NºAsuntos!G17)-Datos!BF17)/Datos!BF17," - ")</f>
        <v>1.6845238095238095</v>
      </c>
      <c r="K17" s="462">
        <f>IF(ISNUMBER((((NºAsuntos!C17+NºAsuntos!E17)/NºAsuntos!G17)-Datos!BG17)/Datos!BG17),(((NºAsuntos!C17+NºAsuntos!E17)/NºAsuntos!G17)-Datos!BG17)/Datos!BG17," - ")</f>
        <v>-0.11240215264187872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0.19159456118665019</v>
      </c>
      <c r="C18" s="855">
        <f>IF(ISNUMBER(
   IF(Criterios!B14="SI",(Datos!J18-Datos!T18)/Datos!T18,(Datos!J18+Datos!AD18-(Datos!T18+Datos!AL18))/(Datos!T18+Datos!AL18))
     ),IF(Criterios!B14="SI",(Datos!J18-Datos!T18)/Datos!T18,(Datos!J18+Datos!AD18-(Datos!T18+Datos!AL18))/(Datos!T18+Datos!AL18))," - ")</f>
        <v>0.22365591397849463</v>
      </c>
      <c r="D18" s="855">
        <f>IF(ISNUMBER(
   IF(Criterios!B14="SI",(Datos!K18-Datos!U18)/Datos!U18,(Datos!K18+Datos!AE18-(Datos!U18+Datos!AM18))/(Datos!U18+Datos!AM18))
     ),IF(Criterios!B14="SI",(Datos!K18-Datos!U18)/Datos!U18,(Datos!K18+Datos!AE18-(Datos!U18+Datos!AM18))/(Datos!U18+Datos!AM18))," - ")</f>
        <v>0.3683083511777302</v>
      </c>
      <c r="E18" s="855">
        <f>IF(ISNUMBER(
   IF(Criterios!B14="SI",(Datos!L18-Datos!V18)/Datos!V18,(Datos!L18+Datos!AF18-(Datos!V18+Datos!AN18))/(Datos!V18+Datos!AN18))
     ),IF(Criterios!B14="SI",(Datos!L18-Datos!V18)/Datos!V18,(Datos!L18+Datos!AF18-(Datos!V18+Datos!AN18))/(Datos!V18+Datos!AN18))," - ")</f>
        <v>0.12609238451935081</v>
      </c>
      <c r="F18" s="856">
        <f>IF(ISNUMBER((Datos!M18-Datos!W18)/Datos!W18),(Datos!M18-Datos!W18)/Datos!W18," - ")</f>
        <v>0.18518518518518517</v>
      </c>
      <c r="G18" s="857">
        <f>IF(ISNUMBER((Datos!N18-Datos!X18)/Datos!X18),(Datos!N18-Datos!X18)/Datos!X18," - ")</f>
        <v>0.17543859649122806</v>
      </c>
      <c r="H18" s="857">
        <f>IF(ISNUMBER(((NºAsuntos!G18/NºAsuntos!E18)-Datos!BD18)/Datos!BD18),((NºAsuntos!G18/NºAsuntos!E18)-Datos!BD18)/Datos!BD18," - ")</f>
        <v>0.11821332741238047</v>
      </c>
      <c r="I18" s="857">
        <f>IF(ISNUMBER(((NºAsuntos!I18/NºAsuntos!G18)-Datos!BE18)/Datos!BE18),((NºAsuntos!I18/NºAsuntos!G18)-Datos!BE18)/Datos!BE18," - ")</f>
        <v>-0.17701855466269673</v>
      </c>
      <c r="J18" s="857">
        <f>IF(ISNUMBER((('Resol  Asuntos'!D18/NºAsuntos!G18)-Datos!BF18)/Datos!BF18),(('Resol  Asuntos'!D18/NºAsuntos!G18)-Datos!BF18)/Datos!BF18," - ")</f>
        <v>-0.13383179736857359</v>
      </c>
      <c r="K18" s="857">
        <f>IF(ISNUMBER((((NºAsuntos!C18+NºAsuntos!E18)/NºAsuntos!G18)-Datos!BG18)/Datos!BG18),(((NºAsuntos!C18+NºAsuntos!E18)/NºAsuntos!G18)-Datos!BG18)/Datos!BG18," - ")</f>
        <v>-0.12059536707424029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0.22050447518307567</v>
      </c>
      <c r="C19" s="802">
        <f>IF(ISNUMBER(
   IF(J_V="SI",(Datos!J19-Datos!T19)/Datos!T19,(Datos!J19+Datos!Z19-(Datos!T19+Datos!AH19))/(Datos!T19+Datos!AH19))
     ),IF(J_V="SI",(Datos!J19-Datos!T19)/Datos!T19,(Datos!J19+Datos!Z19-(Datos!T19+Datos!AH19))/(Datos!T19+Datos!AH19))," - ")</f>
        <v>0.4856046065259117</v>
      </c>
      <c r="D19" s="802">
        <f>IF(ISNUMBER(
   IF(J_V="SI",(Datos!K19-Datos!U19)/Datos!U19,(Datos!K19+Datos!AA19-(Datos!U19+Datos!AI19))/(Datos!U19+Datos!AI19))
     ),IF(J_V="SI",(Datos!K19-Datos!U19)/Datos!U19,(Datos!K19+Datos!AA19-(Datos!U19+Datos!AI19))/(Datos!U19+Datos!AI19))," - ")</f>
        <v>0.28004179728317657</v>
      </c>
      <c r="E19" s="802">
        <f>IF(ISNUMBER(
   IF(J_V="SI",(Datos!L19-Datos!V19)/Datos!V19,(Datos!L19+Datos!AB19-(Datos!V19+Datos!AJ19))/(Datos!V19+Datos!AJ19))
     ),IF(J_V="SI",(Datos!L19-Datos!V19)/Datos!V19,(Datos!L19+Datos!AB19-(Datos!V19+Datos!AJ19))/(Datos!V19+Datos!AJ19))," - ")</f>
        <v>0.3056648308418568</v>
      </c>
      <c r="F19" s="803">
        <f>IF(ISNUMBER((Datos!M19-Datos!W19)/Datos!W19),(Datos!M19-Datos!W19)/Datos!W19," - ")</f>
        <v>-8.8983050847457626E-2</v>
      </c>
      <c r="G19" s="804">
        <f>IF(ISNUMBER((Datos!N19-Datos!X19)/Datos!X19),(Datos!N19-Datos!X19)/Datos!X19," - ")</f>
        <v>0.33982683982683981</v>
      </c>
      <c r="H19" s="805">
        <f>IF(ISNUMBER((Tasas!B19-Datos!BD19)/Datos!BD19),(Tasas!B19-Datos!BD19)/Datos!BD19," - ")</f>
        <v>-0.13836979795279708</v>
      </c>
      <c r="I19" s="806">
        <f>IF(ISNUMBER((Tasas!C19-Datos!BE19)/Datos!BE19),(Tasas!C19-Datos!BE19)/Datos!BE19," - ")</f>
        <v>2.0017341318903606E-2</v>
      </c>
      <c r="J19" s="807">
        <f>IF(ISNUMBER((Tasas!D19-Datos!BF19)/Datos!BF19),(Tasas!D19-Datos!BF19)/Datos!BF19," - ")</f>
        <v>-0.35891883470945635</v>
      </c>
      <c r="K19" s="807">
        <f>IF(ISNUMBER((Tasas!E19-Datos!BG19)/Datos!BG19),(Tasas!E19-Datos!BG19)/Datos!BG19," - ")</f>
        <v>1.5145422740524772E-2</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PL+Q/6R54oKsw0GL0zkeU4M2bDuEn0AsiSVKLFddBIgOxPTSzSgBgL0F6ZzU5e7ZhHVSiUeQXjRvOKWZIwqSQ==" saltValue="Vuq44shXQBExk2Jw7G2Lp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ISLAS BALEARES</v>
      </c>
    </row>
    <row r="3" spans="1:7" ht="19.5">
      <c r="A3" s="436" t="s">
        <v>12</v>
      </c>
      <c r="B3" s="391" t="str">
        <f>Criterios!A10 &amp;"  "&amp;Criterios!B10</f>
        <v>Provincias  ILLES BALEARS</v>
      </c>
    </row>
    <row r="4" spans="1:7" ht="11.25" customHeight="1" thickBot="1">
      <c r="B4" s="391" t="str">
        <f>Criterios!A11 &amp;"  "&amp;Criterios!B11</f>
        <v>Resumenes por Partidos Judiciales  MAO-MAHON</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4</v>
      </c>
      <c r="D10" s="444">
        <f>IF(ISNUMBER('Resol  Asuntos'!D10/NºAsuntos!G10),'Resol  Asuntos'!D10/NºAsuntos!G10," - ")</f>
        <v>1</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0.59774820880245649</v>
      </c>
      <c r="C12" s="443">
        <f>IF(ISNUMBER(NºAsuntos!I12/NºAsuntos!G12),NºAsuntos!I12/NºAsuntos!G12," - ")</f>
        <v>4.125</v>
      </c>
      <c r="D12" s="444">
        <f>IF(ISNUMBER('Resol  Asuntos'!D12/NºAsuntos!G12),'Resol  Asuntos'!D12/NºAsuntos!G12," - ")</f>
        <v>0.20034246575342465</v>
      </c>
      <c r="E12" s="445">
        <f>IF(ISNUMBER((NºAsuntos!C12+NºAsuntos!E12)/NºAsuntos!G12),(NºAsuntos!C12+NºAsuntos!E12)/NºAsuntos!G12," - ")</f>
        <v>5.1455479452054798</v>
      </c>
      <c r="G12" s="463"/>
    </row>
    <row r="13" spans="1:7" ht="14.25" thickTop="1" thickBot="1">
      <c r="A13" s="848" t="str">
        <f>Datos!A13</f>
        <v>TOTAL</v>
      </c>
      <c r="B13" s="858">
        <f>IF(ISNUMBER(NºAsuntos!G13/NºAsuntos!E13),NºAsuntos!G13/NºAsuntos!E13," - ")</f>
        <v>0.59856996935648621</v>
      </c>
      <c r="C13" s="859">
        <f>IF(ISNUMBER(NºAsuntos!I13/NºAsuntos!G13),NºAsuntos!I13/NºAsuntos!G13," - ")</f>
        <v>4.1245733788395906</v>
      </c>
      <c r="D13" s="860">
        <f>IF(ISNUMBER('Resol  Asuntos'!D13/NºAsuntos!G13),'Resol  Asuntos'!D13/NºAsuntos!G13," - ")</f>
        <v>0.2030716723549488</v>
      </c>
      <c r="E13" s="861">
        <f>IF(ISNUMBER((NºAsuntos!C13+NºAsuntos!E13)/NºAsuntos!G13),(NºAsuntos!C13+NºAsuntos!E13)/NºAsuntos!G13," - ")</f>
        <v>5.1450511945392492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1.1320388349514563</v>
      </c>
      <c r="C16" s="443">
        <f>IF(ISNUMBER(NºAsuntos!I16/NºAsuntos!G16),NºAsuntos!I16/NºAsuntos!G16," - ")</f>
        <v>1.3396226415094339</v>
      </c>
      <c r="D16" s="444">
        <f>IF(ISNUMBER('Resol  Asuntos'!D16/NºAsuntos!G16),'Resol  Asuntos'!D16/NºAsuntos!G16," - ")</f>
        <v>0.14579759862778729</v>
      </c>
      <c r="E16" s="445">
        <f>IF(ISNUMBER((NºAsuntos!C16+NºAsuntos!E16)/NºAsuntos!G16),(NºAsuntos!C16+NºAsuntos!E16)/NºAsuntos!G16," - ")</f>
        <v>2.32590051457976</v>
      </c>
      <c r="G16" s="463"/>
    </row>
    <row r="17" spans="1:7" ht="13.5" thickBot="1">
      <c r="A17" s="402" t="str">
        <f>Datos!A17</f>
        <v>Jdos. Violencia contra la mujer</v>
      </c>
      <c r="B17" s="442">
        <f>IF(ISNUMBER(NºAsuntos!G17/NºAsuntos!E17),NºAsuntos!G17/NºAsuntos!E17," - ")</f>
        <v>1.037037037037037</v>
      </c>
      <c r="C17" s="443">
        <f>IF(ISNUMBER(NºAsuntos!I17/NºAsuntos!G17),NºAsuntos!I17/NºAsuntos!G17," - ")</f>
        <v>2.1607142857142856</v>
      </c>
      <c r="D17" s="444">
        <f>IF(ISNUMBER('Resol  Asuntos'!D17/NºAsuntos!G17),'Resol  Asuntos'!D17/NºAsuntos!G17," - ")</f>
        <v>0.19642857142857142</v>
      </c>
      <c r="E17" s="445">
        <f>IF(ISNUMBER((NºAsuntos!C17+NºAsuntos!E17)/NºAsuntos!G17),(NºAsuntos!C17+NºAsuntos!E17)/NºAsuntos!G17," - ")</f>
        <v>3.1607142857142856</v>
      </c>
      <c r="G17" s="463"/>
    </row>
    <row r="18" spans="1:7" ht="14.25" thickTop="1" thickBot="1">
      <c r="A18" s="848" t="str">
        <f>Datos!A18</f>
        <v>TOTAL</v>
      </c>
      <c r="B18" s="858">
        <f>IF(ISNUMBER(NºAsuntos!G18/NºAsuntos!E18),NºAsuntos!G18/NºAsuntos!E18," - ")</f>
        <v>1.1230228471001757</v>
      </c>
      <c r="C18" s="859">
        <f>IF(ISNUMBER(NºAsuntos!I18/NºAsuntos!G18),NºAsuntos!I18/NºAsuntos!G18," - ")</f>
        <v>1.4115805946791862</v>
      </c>
      <c r="D18" s="862">
        <f>IF(ISNUMBER('Resol  Asuntos'!D18/NºAsuntos!G18),'Resol  Asuntos'!D18/NºAsuntos!G18," - ")</f>
        <v>0.15023474178403756</v>
      </c>
      <c r="E18" s="861">
        <f>IF(ISNUMBER((NºAsuntos!C18+NºAsuntos!E18)/NºAsuntos!G18),(NºAsuntos!C18+NºAsuntos!E18)/NºAsuntos!G18," - ")</f>
        <v>2.39906103286385</v>
      </c>
      <c r="G18" s="463"/>
    </row>
    <row r="19" spans="1:7" ht="15.75" customHeight="1" thickTop="1" thickBot="1">
      <c r="A19" s="793" t="str">
        <f>Datos!A19</f>
        <v>TOTAL JURISDICCIONES</v>
      </c>
      <c r="B19" s="808">
        <f>IF(ISNUMBER(NºAsuntos!G19/NºAsuntos!E19),NºAsuntos!G19/NºAsuntos!E19," - ")</f>
        <v>0.79134366925064603</v>
      </c>
      <c r="C19" s="809">
        <f>IF(ISNUMBER(NºAsuntos!I19/NºAsuntos!G19),NºAsuntos!I19/NºAsuntos!G19," - ")</f>
        <v>2.7093877551020409</v>
      </c>
      <c r="D19" s="810">
        <f>IF(ISNUMBER('Resol  Asuntos'!D19/NºAsuntos!G19),'Resol  Asuntos'!D19/NºAsuntos!G19," - ")</f>
        <v>0.17551020408163265</v>
      </c>
      <c r="E19" s="811">
        <f>IF(ISNUMBER((NºAsuntos!C19+NºAsuntos!E19)/NºAsuntos!G19),(NºAsuntos!C19+NºAsuntos!E19)/NºAsuntos!G19," - ")</f>
        <v>3.7126530612244899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SBHfDzJNR6973Q7AkYUvTcb+0UL6ypQGXy/Ks0pXkUSM+cnYM4hn52XB3oGVD7l9wysvJgxb6e0PMFQhSOoMw==" saltValue="d3gBU6WOjGSMMjcpVBFaO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ISLAS BALEARES</v>
      </c>
      <c r="G2" s="263"/>
      <c r="H2" s="262"/>
      <c r="I2" s="262"/>
      <c r="J2" s="262"/>
      <c r="K2" s="262"/>
      <c r="L2" s="262" t="str">
        <f>Criterios!A10 &amp;"  "&amp;Criterios!B10</f>
        <v>Provincias  ILLES BALEARS</v>
      </c>
      <c r="N2" s="262" t="str">
        <f>Criterios!A11 &amp;"  "&amp;Criterios!B11</f>
        <v>Resumenes por Partidos Judiciales  MAO-MAHON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1</v>
      </c>
      <c r="Y10" s="334">
        <f t="shared" ref="Y10:Y12" si="0">SUM(W10:X10)</f>
        <v>3</v>
      </c>
      <c r="Z10" s="335" t="str">
        <f>IF(ISNUMBER(Datos!CC10),Datos!CC10," - ")</f>
        <v xml:space="preserve"> - </v>
      </c>
      <c r="AA10" s="332">
        <f>IF(ISNUMBER(Datos!L10),Datos!L10,"-")</f>
        <v>8</v>
      </c>
      <c r="AB10" s="334">
        <f>IF(ISNUMBER(Datos!R10),Datos!R10," - ")</f>
        <v>9</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12</v>
      </c>
      <c r="AN10" s="244">
        <f>IF(ISNUMBER('Resol  Asuntos'!D10/NºAsuntos!G10),'Resol  Asuntos'!D10/NºAsuntos!G10," - ")</f>
        <v>1</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v>
      </c>
      <c r="Y12" s="334">
        <f t="shared" si="0"/>
        <v>35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2066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117</v>
      </c>
      <c r="AJ12" s="229" t="str">
        <f>IF(ISNUMBER(Datos!BW12),Datos!BW12," - ")</f>
        <v xml:space="preserve"> - </v>
      </c>
      <c r="AK12" s="228" t="str">
        <f>IF(ISNUMBER(Datos!BX12),Datos!BX12," - ")</f>
        <v xml:space="preserve"> - </v>
      </c>
      <c r="AL12" s="243">
        <f>IF(ISNUMBER(NºAsuntos!G12/NºAsuntos!E12),NºAsuntos!G12/NºAsuntos!E12," - ")</f>
        <v>0.59774820880245649</v>
      </c>
      <c r="AM12" s="260">
        <f>IF(ISNUMBER(((NºAsuntos!I12/NºAsuntos!G12)*11)/factor_trimestre),((NºAsuntos!I12/NºAsuntos!G12)*11)/factor_trimestre," - ")</f>
        <v>12.375</v>
      </c>
      <c r="AN12" s="244">
        <f>IF(ISNUMBER('Resol  Asuntos'!D12/NºAsuntos!G12),'Resol  Asuntos'!D12/NºAsuntos!G12," - ")</f>
        <v>0.20034246575342465</v>
      </c>
      <c r="AO12" s="245">
        <f>IF(ISNUMBER((NºAsuntos!C12+NºAsuntos!E12)/NºAsuntos!G12),(NºAsuntos!C12+NºAsuntos!E12)/NºAsuntos!G12," - ")</f>
        <v>5.1455479452054798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8</v>
      </c>
      <c r="G13" s="866">
        <f t="shared" si="3"/>
        <v>8</v>
      </c>
      <c r="H13" s="865">
        <f t="shared" si="3"/>
        <v>0</v>
      </c>
      <c r="I13" s="867">
        <f t="shared" si="3"/>
        <v>0</v>
      </c>
      <c r="J13" s="867">
        <f t="shared" si="3"/>
        <v>0</v>
      </c>
      <c r="K13" s="867">
        <f t="shared" si="3"/>
        <v>0</v>
      </c>
      <c r="L13" s="867">
        <f t="shared" si="3"/>
        <v>115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36</v>
      </c>
      <c r="Y13" s="868">
        <f t="shared" si="4"/>
        <v>38</v>
      </c>
      <c r="Z13" s="868">
        <f t="shared" si="4"/>
        <v>0</v>
      </c>
      <c r="AA13" s="868">
        <f t="shared" si="4"/>
        <v>8</v>
      </c>
      <c r="AB13" s="868">
        <f t="shared" si="4"/>
        <v>2075</v>
      </c>
      <c r="AC13" s="868">
        <f t="shared" si="4"/>
        <v>17</v>
      </c>
      <c r="AD13" s="868">
        <f t="shared" si="4"/>
        <v>0</v>
      </c>
      <c r="AE13" s="872">
        <f t="shared" si="4"/>
        <v>0</v>
      </c>
      <c r="AF13" s="865">
        <f t="shared" si="4"/>
        <v>0</v>
      </c>
      <c r="AG13" s="873">
        <f t="shared" si="4"/>
        <v>0</v>
      </c>
      <c r="AH13" s="870">
        <f t="shared" si="4"/>
        <v>0</v>
      </c>
      <c r="AI13" s="865">
        <f t="shared" si="4"/>
        <v>119</v>
      </c>
      <c r="AJ13" s="867">
        <f t="shared" si="4"/>
        <v>0</v>
      </c>
      <c r="AK13" s="870">
        <f>SUBTOTAL(9,AK9:AK12)</f>
        <v>0</v>
      </c>
      <c r="AL13" s="874">
        <f>IF(ISNUMBER(NºAsuntos!G13/NºAsuntos!E13),NºAsuntos!G13/NºAsuntos!E13," - ")</f>
        <v>0.59856996935648621</v>
      </c>
      <c r="AM13" s="874">
        <f>IF(ISNUMBER(((NºAsuntos!I13/NºAsuntos!G13)*11)/factor_trimestre),((NºAsuntos!I13/NºAsuntos!G13)*11)/factor_trimestre," - ")</f>
        <v>12.373720136518772</v>
      </c>
      <c r="AN13" s="875">
        <f>IF(ISNUMBER('Resol  Asuntos'!D13/NºAsuntos!G13),'Resol  Asuntos'!D13/NºAsuntos!G13," - ")</f>
        <v>0.2030716723549488</v>
      </c>
      <c r="AO13" s="876">
        <f>IF(ISNUMBER((NºAsuntos!C13+NºAsuntos!E13)/NºAsuntos!G13),(NºAsuntos!C13+NºAsuntos!E13)/NºAsuntos!G13," - ")</f>
        <v>5.1450511945392492</v>
      </c>
      <c r="AP13" s="877" t="str">
        <f t="shared" si="2"/>
        <v xml:space="preserve"> - </v>
      </c>
      <c r="AQ13" s="877">
        <f>IF(ISNUMBER((H13-W13+K13)/(F13)),(H13-W13+K13)/(F13)," - ")</f>
        <v>-0.25</v>
      </c>
      <c r="AR13" s="878">
        <f>IF(ISNUMBER((Datos!P13-Datos!Q13)/(Datos!R13-Datos!P13+Datos!Q13)),(Datos!P13-Datos!Q13)/(Datos!R13-Datos!P13+Datos!Q13)," - ")</f>
        <v>3.9579158316633264E-2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849</v>
      </c>
      <c r="G16" s="333">
        <f>IF(ISNUMBER(IF(D_I="SI",Datos!I16,Datos!I16+Datos!AC16)),IF(D_I="SI",Datos!I16,Datos!I16+Datos!AC16)," - ")</f>
        <v>841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583</v>
      </c>
      <c r="X16" s="226">
        <f>IF(ISNUMBER(Datos!Q16),Datos!Q16," - ")</f>
        <v>8</v>
      </c>
      <c r="Y16" s="334">
        <f t="shared" ref="Y16:Y17" si="7">SUM(W16:X16)</f>
        <v>591</v>
      </c>
      <c r="Z16" s="335" t="str">
        <f>IF(ISNUMBER(Datos!CC16),Datos!CC16," - ")</f>
        <v xml:space="preserve"> - </v>
      </c>
      <c r="AA16" s="332">
        <f>IF(ISNUMBER(IF(D_I="SI",Datos!L16,Datos!L16+Datos!AF16)),IF(D_I="SI",Datos!L16,Datos!L16+Datos!AF16)," - ")</f>
        <v>781</v>
      </c>
      <c r="AB16" s="334">
        <f>IF(ISNUMBER(Datos!R16),Datos!R16," - ")</f>
        <v>87</v>
      </c>
      <c r="AC16" s="334">
        <f t="shared" si="6"/>
        <v>868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85</v>
      </c>
      <c r="AJ16" s="231" t="str">
        <f>IF(ISNUMBER(Datos!BW16),Datos!BW16," - ")</f>
        <v xml:space="preserve"> - </v>
      </c>
      <c r="AK16" s="232" t="str">
        <f>IF(ISNUMBER(Datos!BX16),Datos!BX16," - ")</f>
        <v xml:space="preserve"> - </v>
      </c>
      <c r="AL16" s="243">
        <f>IF(ISNUMBER(NºAsuntos!G16/NºAsuntos!E16),NºAsuntos!G16/NºAsuntos!E16," - ")</f>
        <v>1.1320388349514563</v>
      </c>
      <c r="AM16" s="260">
        <f>IF(ISNUMBER(((NºAsuntos!I16/NºAsuntos!G16)*11)/factor_trimestre),((NºAsuntos!I16/NºAsuntos!G16)*11)/factor_trimestre," - ")</f>
        <v>4.0188679245283021</v>
      </c>
      <c r="AN16" s="244">
        <f>IF(ISNUMBER('Resol  Asuntos'!D16/NºAsuntos!G16),'Resol  Asuntos'!D16/NºAsuntos!G16," - ")</f>
        <v>0.14579759862778729</v>
      </c>
      <c r="AO16" s="245">
        <f>IF(ISNUMBER((NºAsuntos!C16+NºAsuntos!E16)/NºAsuntos!G16),(NºAsuntos!C16+NºAsuntos!E16)/NºAsuntos!G16," - ")</f>
        <v>2.32590051457976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v>
      </c>
      <c r="X17" s="226">
        <f>IF(ISNUMBER(Datos!Q17),Datos!Q17," - ")</f>
        <v>0</v>
      </c>
      <c r="Y17" s="334">
        <f t="shared" si="7"/>
        <v>56</v>
      </c>
      <c r="Z17" s="335" t="str">
        <f>IF(ISNUMBER(Datos!CC17),Datos!CC17," - ")</f>
        <v xml:space="preserve"> - </v>
      </c>
      <c r="AA17" s="332">
        <f>IF(ISNUMBER(Datos!L17),Datos!L17,"-")</f>
        <v>121</v>
      </c>
      <c r="AB17" s="334">
        <f>IF(ISNUMBER(Datos!R17),Datos!R17," - ")</f>
        <v>1</v>
      </c>
      <c r="AC17" s="334">
        <f t="shared" si="6"/>
        <v>122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1.037037037037037</v>
      </c>
      <c r="AM17" s="260">
        <f>IF(ISNUMBER(((NºAsuntos!I17/NºAsuntos!G17)*11)/factor_trimestre),((NºAsuntos!I17/NºAsuntos!G17)*11)/factor_trimestre," - ")</f>
        <v>6.4821428571428577</v>
      </c>
      <c r="AN17" s="244">
        <f>IF(ISNUMBER('Resol  Asuntos'!D17/NºAsuntos!G17),'Resol  Asuntos'!D17/NºAsuntos!G17," - ")</f>
        <v>0.19642857142857142</v>
      </c>
      <c r="AO17" s="245">
        <f>IF(ISNUMBER((NºAsuntos!C17+NºAsuntos!E17)/NºAsuntos!G17),(NºAsuntos!C17+NºAsuntos!E17)/NºAsuntos!G17," - ")</f>
        <v>3.1607142857142856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849</v>
      </c>
      <c r="G18" s="866">
        <f>SUBTOTAL(9,G15:G17)</f>
        <v>964</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639</v>
      </c>
      <c r="X18" s="867">
        <f t="shared" si="11"/>
        <v>8</v>
      </c>
      <c r="Y18" s="868">
        <f t="shared" si="11"/>
        <v>647</v>
      </c>
      <c r="Z18" s="868">
        <f t="shared" si="11"/>
        <v>0</v>
      </c>
      <c r="AA18" s="868">
        <f t="shared" si="11"/>
        <v>902</v>
      </c>
      <c r="AB18" s="868">
        <f t="shared" si="11"/>
        <v>88</v>
      </c>
      <c r="AC18" s="868">
        <f t="shared" si="11"/>
        <v>990</v>
      </c>
      <c r="AD18" s="868">
        <f t="shared" si="11"/>
        <v>0</v>
      </c>
      <c r="AE18" s="872">
        <f t="shared" si="11"/>
        <v>0</v>
      </c>
      <c r="AF18" s="865">
        <f t="shared" si="11"/>
        <v>0</v>
      </c>
      <c r="AG18" s="873">
        <f t="shared" si="11"/>
        <v>0</v>
      </c>
      <c r="AH18" s="870">
        <f t="shared" si="11"/>
        <v>0</v>
      </c>
      <c r="AI18" s="865">
        <f t="shared" si="11"/>
        <v>96</v>
      </c>
      <c r="AJ18" s="867">
        <f t="shared" si="11"/>
        <v>0</v>
      </c>
      <c r="AK18" s="870">
        <f t="shared" si="11"/>
        <v>0</v>
      </c>
      <c r="AL18" s="874">
        <f>IF(ISNUMBER(NºAsuntos!G18/NºAsuntos!E18),NºAsuntos!G18/NºAsuntos!E18," - ")</f>
        <v>1.1230228471001757</v>
      </c>
      <c r="AM18" s="874">
        <f>IF(ISNUMBER(((NºAsuntos!I18/NºAsuntos!G18)*11)/factor_trimestre),((NºAsuntos!I18/NºAsuntos!G18)*11)/factor_trimestre," - ")</f>
        <v>4.234741784037559</v>
      </c>
      <c r="AN18" s="875">
        <f>IF(ISNUMBER('Resol  Asuntos'!D18/NºAsuntos!G18),'Resol  Asuntos'!D18/NºAsuntos!G18," - ")</f>
        <v>0.15023474178403756</v>
      </c>
      <c r="AO18" s="876">
        <f>IF(ISNUMBER((NºAsuntos!C18+NºAsuntos!E18)/NºAsuntos!G18),(NºAsuntos!C18+NºAsuntos!E18)/NºAsuntos!G18," - ")</f>
        <v>2.39906103286385</v>
      </c>
      <c r="AP18" s="877" t="str">
        <f t="shared" si="2"/>
        <v xml:space="preserve"> - </v>
      </c>
      <c r="AQ18" s="877">
        <f>IF(ISNUMBER((H18-W18+K18)/(F18)),(H18-W18+K18)/(F18)," - ")</f>
        <v>-0.75265017667844525</v>
      </c>
      <c r="AR18" s="878">
        <f>IF(ISNUMBER((Datos!P18-Datos!Q18)/(Datos!R18-Datos!P18+Datos!Q18)),(Datos!P18-Datos!Q18)/(Datos!R18-Datos!P18+Datos!Q18)," - ")</f>
        <v>0.1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857</v>
      </c>
      <c r="G19" s="821">
        <f t="shared" si="13"/>
        <v>972</v>
      </c>
      <c r="H19" s="820">
        <f t="shared" si="13"/>
        <v>0</v>
      </c>
      <c r="I19" s="822">
        <f t="shared" si="13"/>
        <v>0</v>
      </c>
      <c r="J19" s="822">
        <f t="shared" si="13"/>
        <v>0</v>
      </c>
      <c r="K19" s="881">
        <f t="shared" si="13"/>
        <v>0</v>
      </c>
      <c r="L19" s="822">
        <f t="shared" si="13"/>
        <v>131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641</v>
      </c>
      <c r="X19" s="821">
        <f t="shared" si="14"/>
        <v>44</v>
      </c>
      <c r="Y19" s="828">
        <f t="shared" si="14"/>
        <v>685</v>
      </c>
      <c r="Z19" s="828">
        <f t="shared" si="14"/>
        <v>0</v>
      </c>
      <c r="AA19" s="828">
        <f t="shared" si="14"/>
        <v>910</v>
      </c>
      <c r="AB19" s="828">
        <f t="shared" si="14"/>
        <v>2163</v>
      </c>
      <c r="AC19" s="828">
        <f t="shared" si="14"/>
        <v>1007</v>
      </c>
      <c r="AD19" s="828">
        <f t="shared" si="14"/>
        <v>0</v>
      </c>
      <c r="AE19" s="830">
        <f t="shared" si="14"/>
        <v>0</v>
      </c>
      <c r="AF19" s="831">
        <f t="shared" si="14"/>
        <v>0</v>
      </c>
      <c r="AG19" s="832">
        <f t="shared" si="14"/>
        <v>0</v>
      </c>
      <c r="AH19" s="830">
        <f t="shared" si="14"/>
        <v>0</v>
      </c>
      <c r="AI19" s="820">
        <f t="shared" si="14"/>
        <v>215</v>
      </c>
      <c r="AJ19" s="820">
        <f t="shared" si="14"/>
        <v>0</v>
      </c>
      <c r="AK19" s="830">
        <f t="shared" si="14"/>
        <v>0</v>
      </c>
      <c r="AL19" s="884">
        <f>IF(ISNUMBER(NºAsuntos!G19/NºAsuntos!E19),NºAsuntos!G19/NºAsuntos!E19," - ")</f>
        <v>0.79134366925064603</v>
      </c>
      <c r="AM19" s="885">
        <f>IF(ISNUMBER(((NºAsuntos!I19/NºAsuntos!G19)*11)/factor_trimestre),((NºAsuntos!I19/NºAsuntos!G19)*11)/factor_trimestre," - ")</f>
        <v>8.1281632653061227</v>
      </c>
      <c r="AN19" s="885">
        <f>IF(ISNUMBER('Resol  Asuntos'!D19/NºAsuntos!G19),'Resol  Asuntos'!D19/NºAsuntos!G19," - ")</f>
        <v>0.17551020408163265</v>
      </c>
      <c r="AO19" s="886">
        <f>IF(ISNUMBER((NºAsuntos!C19+NºAsuntos!E19)/NºAsuntos!G19),(NºAsuntos!C19+NºAsuntos!E19)/NºAsuntos!G19," - ")</f>
        <v>3.7126530612244899</v>
      </c>
      <c r="AP19" s="887" t="str">
        <f t="shared" si="2"/>
        <v xml:space="preserve"> - </v>
      </c>
      <c r="AQ19" s="888">
        <f>IF(OR(ISNUMBER(FIND("01",Criterios!A8,1)),ISNUMBER(FIND("02",Criterios!A8,1)),ISNUMBER(FIND("03",Criterios!A8,1)),ISNUMBER(FIND("04",Criterios!A8,1))),(I19-W19+K19)/(F19-K19),(H19-W19+K19)/(F19-K19))</f>
        <v>-0.74795799299883314</v>
      </c>
      <c r="AR19" s="889">
        <f>IF(ISNUMBER((Datos!P19-Datos!Q19)/(Datos!R19-Datos!P19+Datos!Q19)),(Datos!P19-Datos!Q19)/(Datos!R19-Datos!P19+Datos!Q19)," - ")</f>
        <v>4.1907514450867052E-2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485.55157638847527</v>
      </c>
      <c r="G21" s="253">
        <f>IF(ISNUMBER(STDEV(G8:G18)),STDEV(G8:G18),"-")</f>
        <v>473.28817859735312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325.05737955013421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52.152340950974256</v>
      </c>
      <c r="AJ21" s="252">
        <f t="shared" si="18"/>
        <v>0</v>
      </c>
      <c r="AK21" s="254">
        <f t="shared" si="18"/>
        <v>0</v>
      </c>
      <c r="AL21" s="249">
        <f t="shared" si="18"/>
        <v>0.2503092666323985</v>
      </c>
      <c r="AM21" s="250">
        <f t="shared" si="18"/>
        <v>4.1128319563330873</v>
      </c>
      <c r="AN21" s="250">
        <f t="shared" si="18"/>
        <v>0.33607432945867932</v>
      </c>
      <c r="AO21" s="251">
        <f t="shared" si="18"/>
        <v>1.384221828558259</v>
      </c>
      <c r="AP21" s="291" t="str">
        <f t="shared" si="18"/>
        <v>-</v>
      </c>
      <c r="AQ21" s="292">
        <f t="shared" si="18"/>
        <v>0.35542734849394492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Y2xJgd0FylCsiXO/qb6Pt/1OdXtNp+JnkzHdAlixmxBULJekyeefFaHFxSvKpgZCnINpPMhhUa0Z4ov1xf0TZQ==" saltValue="KiUOCymM1GEDhl+R8qnuD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ISLAS BALEARES</v>
      </c>
      <c r="E2" s="263"/>
    </row>
    <row r="3" spans="2:20" ht="17.25" customHeight="1">
      <c r="C3" s="267"/>
      <c r="D3" s="262" t="str">
        <f>Criterios!A10 &amp;"  "&amp;Criterios!B10</f>
        <v>Provincias  ILLES BALEARS</v>
      </c>
      <c r="E3" s="263"/>
    </row>
    <row r="4" spans="2:20" ht="17.25" customHeight="1" thickBot="1">
      <c r="D4" s="262" t="str">
        <f>Criterios!A11 &amp;"  "&amp;Criterios!B11</f>
        <v>Resumenes por Partidos Judiciales  MAO-MAHON</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0.14285714285714285</v>
      </c>
      <c r="E10" s="348">
        <f>IF(ISNUMBER((Datos!J10-Datos!T10)/Datos!T10),(Datos!J10-Datos!T10)/Datos!T10," - ")</f>
        <v>1</v>
      </c>
      <c r="F10" s="348">
        <f>IF(ISNUMBER((Datos!K10-Datos!U10)/Datos!U10),(Datos!K10-Datos!U10)/Datos!U10," - ")</f>
        <v>-0.5</v>
      </c>
      <c r="G10" s="349">
        <f>IF(ISNUMBER((Datos!L10-Datos!V10)/Datos!V10),(Datos!L10-Datos!V10)/Datos!V10," - ")</f>
        <v>1</v>
      </c>
      <c r="H10" s="230">
        <f>IF(ISNUMBER((Datos!M10-Datos!W10)/Datos!W10),(Datos!M10-Datos!W10)/Datos!W10," - ")</f>
        <v>-0.5</v>
      </c>
      <c r="I10" s="350">
        <f>IF(ISNUMBER((Tasas!C10-Datos!BE10)/Datos!BE10),(Tasas!C10-Datos!BE10)/Datos!BE10," - ")</f>
        <v>3</v>
      </c>
      <c r="J10" s="349">
        <f>IF(ISNUMBER((Tasas!D10-Datos!BF10)/Datos!BF10),(Tasas!D10-Datos!BF10)/Datos!BF10," - ")</f>
        <v>0</v>
      </c>
      <c r="K10" s="351">
        <f>IF(ISNUMBER((Tasas!E10-Datos!BG10)/Datos!BG10),(Tasas!E10-Datos!BG10)/Datos!BG10," - ")</f>
        <v>1.5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-0.2251655629139073</v>
      </c>
      <c r="I12" s="350">
        <f>IF(ISNUMBER((Tasas!C12-Datos!BE12)/Datos!BE12),(Tasas!C12-Datos!BE12)/Datos!BE12," - ")</f>
        <v>0.1541450777202073</v>
      </c>
      <c r="J12" s="349">
        <f>IF(ISNUMBER((Tasas!D12-Datos!BF12)/Datos!BF12),(Tasas!D12-Datos!BF12)/Datos!BF12," - ")</f>
        <v>-0.44990712793127469</v>
      </c>
      <c r="K12" s="351">
        <f>IF(ISNUMBER((Tasas!E12-Datos!BG12)/Datos!BG12),(Tasas!E12-Datos!BG12)/Datos!BG12," - ")</f>
        <v>0.12747353533357211</v>
      </c>
      <c r="M12" t="e">
        <f>IF(Monitorios="SI",Datos!CE12,0)</f>
        <v>#REF!</v>
      </c>
      <c r="N12" t="e">
        <f>IF(Monitorios="SI",Datos!CF12,0)</f>
        <v>#REF!</v>
      </c>
      <c r="O12" t="e">
        <f>IF(Monitorios="SI",Datos!CG12,0)</f>
        <v>#REF!</v>
      </c>
      <c r="P12" t="e">
        <f>IF(Monitorios="SI",Datos!CH12,0)</f>
        <v>#REF!</v>
      </c>
      <c r="Q12">
        <f>IF(J_V="SI",0,Datos!AG12)</f>
        <v>26</v>
      </c>
      <c r="R12">
        <f>IF(J_V="SI",0,Datos!AH12)</f>
        <v>18</v>
      </c>
      <c r="S12">
        <f>IF(J_V="SI",0,Datos!AI12)</f>
        <v>18</v>
      </c>
      <c r="T12">
        <f>IF(J_V="SI",0,Datos!AJ12)</f>
        <v>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-0.23225806451612904</v>
      </c>
      <c r="I13" s="357">
        <f>IF(ISNUMBER((Tasas!C13-Datos!BE13)/Datos!BE13),(Tasas!C13-Datos!BE13)/Datos!BE13," - ")</f>
        <v>0.16085063505537006</v>
      </c>
      <c r="J13" s="355">
        <f>IF(ISNUMBER((Tasas!D13-Datos!BF13)/Datos!BF13),(Tasas!D13-Datos!BF13)/Datos!BF13," - ")</f>
        <v>-0.45024795881809437</v>
      </c>
      <c r="K13" s="358">
        <f>IF(ISNUMBER((Tasas!E13-Datos!BG13)/Datos!BG13),(Tasas!E13-Datos!BG13)/Datos!BG13," - ")</f>
        <v>0.1325584390495203</v>
      </c>
      <c r="M13" t="e">
        <f>IF(Monitorios="SI",Datos!CE13,0)</f>
        <v>#REF!</v>
      </c>
      <c r="N13" t="e">
        <f>IF(Monitorios="SI",Datos!CF13,0)</f>
        <v>#REF!</v>
      </c>
      <c r="O13" t="e">
        <f>IF(Monitorios="SI",Datos!CG13,0)</f>
        <v>#REF!</v>
      </c>
      <c r="P13" t="e">
        <f>IF(Monitorios="SI",Datos!CH13,0)</f>
        <v>#REF!</v>
      </c>
      <c r="Q13">
        <f>IF(J_V="SI",0,Datos!AG13)</f>
        <v>26</v>
      </c>
      <c r="R13">
        <f>IF(J_V="SI",0,Datos!AH13)</f>
        <v>18</v>
      </c>
      <c r="S13">
        <f>IF(J_V="SI",0,Datos!AI13)</f>
        <v>18</v>
      </c>
      <c r="T13">
        <f>IF(J_V="SI",0,Datos!AJ13)</f>
        <v>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0.18785310734463276</v>
      </c>
      <c r="E16" s="348">
        <f>IF(ISNUMBER(
   IF(D_I="SI",(Datos!J16-Datos!T16)/Datos!T16,(Datos!J16+Datos!AD16-(Datos!T16+Datos!AL16))/(Datos!T16+Datos!AL16))
     ),IF(D_I="SI",(Datos!J16-Datos!T16)/Datos!T16,(Datos!J16+Datos!AD16-(Datos!T16+Datos!AL16))/(Datos!T16+Datos!AL16))," - ")</f>
        <v>0.22619047619047619</v>
      </c>
      <c r="F16" s="348">
        <f>IF(ISNUMBER(
   IF(D_I="SI",(Datos!K16-Datos!U16)/Datos!U16,(Datos!K16+Datos!AE16-(Datos!U16+Datos!AM16))/(Datos!U16+Datos!AM16))
     ),IF(D_I="SI",(Datos!K16-Datos!U16)/Datos!U16,(Datos!K16+Datos!AE16-(Datos!U16+Datos!AM16))/(Datos!U16+Datos!AM16))," - ")</f>
        <v>0.36854460093896713</v>
      </c>
      <c r="G16" s="349">
        <f>IF(ISNUMBER(
   IF(D_I="SI",(Datos!L16-Datos!V16)/Datos!V16,(Datos!L16+Datos!AF16-(Datos!V16+Datos!AN16))/(Datos!V16+Datos!AN16))
     ),IF(D_I="SI",(Datos!L16-Datos!V16)/Datos!V16,(Datos!L16+Datos!AF16-(Datos!V16+Datos!AN16))/(Datos!V16+Datos!AN16))," - ")</f>
        <v>0.1221264367816092</v>
      </c>
      <c r="H16" s="230">
        <f>IF(ISNUMBER((Datos!M16-Datos!W16)/Datos!W16),(Datos!M16-Datos!W16)/Datos!W16," - ")</f>
        <v>8.9743589743589744E-2</v>
      </c>
      <c r="I16" s="350">
        <f>IF(ISNUMBER((Tasas!C16-Datos!BE16)/Datos!BE16),(Tasas!C16-Datos!BE16)/Datos!BE16," - ")</f>
        <v>-0.18005855562784653</v>
      </c>
      <c r="J16" s="349">
        <f>IF(ISNUMBER((Tasas!D16-Datos!BF16)/Datos!BF16),(Tasas!D16-Datos!BF16)/Datos!BF16," - ")</f>
        <v>-0.2037208074943925</v>
      </c>
      <c r="K16" s="351">
        <f>IF(ISNUMBER((Tasas!E16-Datos!BG16)/Datos!BG16),(Tasas!E16-Datos!BG16)/Datos!BG16," - ")</f>
        <v>-0.12160140140870768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0.21782178217821782</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0.36585365853658536</v>
      </c>
      <c r="G17" s="349">
        <f>IF(ISNUMBER(
   IF(D_I="SI",(Datos!L17-Datos!V17)/Datos!V17,(Datos!L17+Datos!AF17-(Datos!V17+Datos!AN17))/(Datos!V17+Datos!AN17))
     ),IF(D_I="SI",(Datos!L17-Datos!V17)/Datos!V17,(Datos!L17+Datos!AF17-(Datos!V17+Datos!AN17))/(Datos!V17+Datos!AN17))," - ")</f>
        <v>0.15238095238095239</v>
      </c>
      <c r="H17" s="230">
        <f>IF(ISNUMBER((Datos!M17-Datos!W17)/Datos!W17),(Datos!M17-Datos!W17)/Datos!W17," - ")</f>
        <v>2.6666666666666665</v>
      </c>
      <c r="I17" s="350">
        <f>IF(ISNUMBER((Tasas!C17-Datos!BE17)/Datos!BE17),(Tasas!C17-Datos!BE17)/Datos!BE17," - ")</f>
        <v>-0.1562925170068028</v>
      </c>
      <c r="J17" s="349">
        <f>IF(ISNUMBER((Tasas!D17-Datos!BF17)/Datos!BF17),(Tasas!D17-Datos!BF17)/Datos!BF17," - ")</f>
        <v>1.6845238095238095</v>
      </c>
      <c r="K17" s="351">
        <f>IF(ISNUMBER((Tasas!E17-Datos!BG17)/Datos!BG17),(Tasas!E17-Datos!BG17)/Datos!BG17," - ")</f>
        <v>-0.11240215264187872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0.19159456118665019</v>
      </c>
      <c r="E18" s="354">
        <f>IF(ISNUMBER(
   IF(D_I="SI",(Datos!J18-Datos!T18)/Datos!T18,(Datos!J18+Datos!AD18-(Datos!T18+Datos!AL18))/(Datos!T18+Datos!AL18))
     ),IF(D_I="SI",(Datos!J18-Datos!T18)/Datos!T18,(Datos!J18+Datos!AD18-(Datos!T18+Datos!AL18))/(Datos!T18+Datos!AL18))," - ")</f>
        <v>0.22365591397849463</v>
      </c>
      <c r="F18" s="354">
        <f>IF(ISNUMBER(
   IF(D_I="SI",(Datos!K18-Datos!U18)/Datos!U18,(Datos!K18+Datos!AE18-(Datos!U18+Datos!AM18))/(Datos!U18+Datos!AM18))
     ),IF(D_I="SI",(Datos!K18-Datos!U18)/Datos!U18,(Datos!K18+Datos!AE18-(Datos!U18+Datos!AM18))/(Datos!U18+Datos!AM18))," - ")</f>
        <v>0.3683083511777302</v>
      </c>
      <c r="G18" s="355">
        <f>IF(ISNUMBER(
   IF(D_I="SI",(Datos!L18-Datos!V18)/Datos!V18,(Datos!L18+Datos!AF18-(Datos!V18+Datos!AN18))/(Datos!V18+Datos!AN18))
     ),IF(D_I="SI",(Datos!L18-Datos!V18)/Datos!V18,(Datos!L18+Datos!AF18-(Datos!V18+Datos!AN18))/(Datos!V18+Datos!AN18))," - ")</f>
        <v>0.12609238451935081</v>
      </c>
      <c r="H18" s="356">
        <f>IF(ISNUMBER((Datos!M18-Datos!W18)/Datos!W18),(Datos!M18-Datos!W18)/Datos!W18," - ")</f>
        <v>0.18518518518518517</v>
      </c>
      <c r="I18" s="357">
        <f>IF(ISNUMBER((Tasas!C18-Datos!BE18)/Datos!BE18),(Tasas!C18-Datos!BE18)/Datos!BE18," - ")</f>
        <v>-0.17701855466269673</v>
      </c>
      <c r="J18" s="355">
        <f>IF(ISNUMBER((Tasas!D18-Datos!BF18)/Datos!BF18),(Tasas!D18-Datos!BF18)/Datos!BF18," - ")</f>
        <v>-0.13383179736857359</v>
      </c>
      <c r="K18" s="358">
        <f>IF(ISNUMBER((Tasas!E18-Datos!BG18)/Datos!BG18),(Tasas!E18-Datos!BG18)/Datos!BG18," - ")</f>
        <v>-0.12059536707424029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0.22050447518307567</v>
      </c>
      <c r="E19" s="363">
        <f>IF(ISNUMBER(
   IF(J_V="SI",(Datos!J19-Datos!T19)/Datos!T19,(Datos!J19+Datos!Z19-(Datos!T19+Datos!AH19))/(Datos!T19+Datos!AH19))
     ),IF(J_V="SI",(Datos!J19-Datos!T19)/Datos!T19,(Datos!J19+Datos!Z19-(Datos!T19+Datos!AH19))/(Datos!T19+Datos!AH19))," - ")</f>
        <v>0.4856046065259117</v>
      </c>
      <c r="F19" s="363">
        <f>IF(ISNUMBER(
   IF(J_V="SI",(Datos!K19-Datos!U19)/Datos!U19,(Datos!K19+Datos!AA19-(Datos!U19+Datos!AI19))/(Datos!U19+Datos!AI19))
     ),IF(J_V="SI",(Datos!K19-Datos!U19)/Datos!U19,(Datos!K19+Datos!AA19-(Datos!U19+Datos!AI19))/(Datos!U19+Datos!AI19))," - ")</f>
        <v>0.28004179728317657</v>
      </c>
      <c r="G19" s="364">
        <f>IF(ISNUMBER(
   IF(J_V="SI",(Datos!L19-Datos!V19)/Datos!V19,(Datos!L19+Datos!AB19-(Datos!V19+Datos!AJ19))/(Datos!V19+Datos!AJ19))
     ),IF(J_V="SI",(Datos!L19-Datos!V19)/Datos!V19,(Datos!L19+Datos!AB19-(Datos!V19+Datos!AJ19))/(Datos!V19+Datos!AJ19))," - ")</f>
        <v>0.3056648308418568</v>
      </c>
      <c r="H19" s="365">
        <f>IF(ISNUMBER((Datos!M19-Datos!W19)/Datos!W19),(Datos!M19-Datos!W19)/Datos!W19," - ")</f>
        <v>-8.8983050847457626E-2</v>
      </c>
      <c r="I19" s="362">
        <f>IF(ISNUMBER((Tasas!C19-Datos!BE19)/Datos!BE19),(Tasas!C19-Datos!BE19)/Datos!BE19," - ")</f>
        <v>2.0017341318903606E-2</v>
      </c>
      <c r="J19" s="363">
        <f>IF(ISNUMBER((Tasas!D19-Datos!BF19)/Datos!BF19),(Tasas!D19-Datos!BF19)/Datos!BF19," - ")</f>
        <v>-0.35891883470945635</v>
      </c>
      <c r="K19" s="364">
        <f>IF(ISNUMBER((Tasas!E19-Datos!BG19)/Datos!BG19),(Tasas!E19-Datos!BG19)/Datos!BG19," - ")</f>
        <v>1.5145422740524772E-2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3.111759548229566E-2</v>
      </c>
      <c r="E21" s="278">
        <f t="shared" si="1"/>
        <v>0.39186980048158598</v>
      </c>
      <c r="F21" s="278">
        <f t="shared" si="1"/>
        <v>0.43378614134226451</v>
      </c>
      <c r="G21" s="279">
        <f t="shared" si="1"/>
        <v>0.433441337489407</v>
      </c>
      <c r="H21" s="285">
        <f t="shared" si="1"/>
        <v>1.1706362045534862</v>
      </c>
      <c r="I21" s="277">
        <f t="shared" si="1"/>
        <v>1.2513698771879067</v>
      </c>
      <c r="J21" s="278">
        <f t="shared" si="1"/>
        <v>0.80856652456364531</v>
      </c>
      <c r="K21" s="279">
        <f t="shared" si="1"/>
        <v>0.63191433249738382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ZiDkB00NaDmnEGRYT69Wnj3aoA3bP+J6M58iVdj9zp7EiTtE+wxVCEAgenv24UFwUA+0aR90vHpOJixj6iXTg==" saltValue="EDMMYsrCAE4coUamdOeIZ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2024-05-29T13:09:00Z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